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5.xml" ContentType="application/vnd.ms-excel.controlproperties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trlProps/ctrlProp36.xml" ContentType="application/vnd.ms-excel.controlproperties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 codeName="{DD97A8EA-9A9A-E61F-A557-7D5A7D7259CE}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LWAOW41\AppData\Roaming\OpenText\DM\ICTemp\"/>
    </mc:Choice>
  </mc:AlternateContent>
  <xr:revisionPtr revIDLastSave="0" documentId="8_{E05F5E2F-6CC9-45B1-BA60-652E14123C82}" xr6:coauthVersionLast="47" xr6:coauthVersionMax="47" xr10:uidLastSave="{00000000-0000-0000-0000-000000000000}"/>
  <bookViews>
    <workbookView xWindow="38280" yWindow="-120" windowWidth="38640" windowHeight="21120" tabRatio="808" activeTab="2" xr2:uid="{00000000-000D-0000-FFFF-FFFF00000000}"/>
  </bookViews>
  <sheets>
    <sheet name="Suisse_Bilanz_1.20" sheetId="2" r:id="rId1"/>
    <sheet name="GMF_1.11" sheetId="12" r:id="rId2"/>
    <sheet name="Einsatz fremde Dünger" sheetId="1" r:id="rId3"/>
    <sheet name="Daten" sheetId="10" r:id="rId4"/>
    <sheet name="Lineare Korrektur" sheetId="9" r:id="rId5"/>
    <sheet name="Grafik" sheetId="13" r:id="rId6"/>
    <sheet name="Richtwerte Hofdünger" sheetId="11" r:id="rId7"/>
    <sheet name="Modul1" sheetId="7" state="veryHidden" r:id=""/>
  </sheets>
  <definedNames>
    <definedName name="_xlnm._FilterDatabase" localSheetId="3" hidden="1">Daten!$A$1:$AE$532</definedName>
    <definedName name="_xleta.COUNTIF" hidden="1" xlm="1">#NAME?</definedName>
    <definedName name="_xleta.ISNUMBER" hidden="1" xlm="1">#NAME?</definedName>
    <definedName name="_xleta.LEFT" hidden="1" xlm="1">#NAME?</definedName>
    <definedName name="_xleta.MAX" hidden="1" xlm="1">#NAME?</definedName>
    <definedName name="_xleta.VLOOKUP" hidden="1" xlm="1">#NAME?</definedName>
    <definedName name="Acker">Suisse_Bilanz_1.20!$A$93</definedName>
    <definedName name="BIO_DGVE_pro_ha">Daten!$E$511:$F$517</definedName>
    <definedName name="BIO_DGVE_pro_ha_Liste">Daten!$E$511:$E$517</definedName>
    <definedName name="Dauerkulturen">Suisse_Bilanz_1.20!$A$100</definedName>
    <definedName name="Druck_3_statt_2_Seiten">Suisse_Bilanz_1.20!$B$5:$R$81,Suisse_Bilanz_1.20!$B$85:$R$111,Suisse_Bilanz_1.20!$B$113:$R$171</definedName>
    <definedName name="_xlnm.Print_Area" localSheetId="3">Daten!$E$2:$M$67,Daten!$E$225:$L$282,Daten!$E$74:$L$220,Daten!$E$284:$L$369</definedName>
    <definedName name="_xlnm.Print_Area" localSheetId="2">'Einsatz fremde Dünger'!$A$8:$Q$34,'Einsatz fremde Dünger'!$A$36:$Q$62,'Einsatz fremde Dünger'!$A$64:$Q$90,'Einsatz fremde Dünger'!$A$92:$Q$118,'Einsatz fremde Dünger'!$A$120:$Q$146,'Einsatz fremde Dünger'!$A$148:$Q$174,'Einsatz fremde Dünger'!$A$176:$Q$202</definedName>
    <definedName name="_xlnm.Print_Area" localSheetId="1">GMF_1.11!$B$1:$N$56</definedName>
    <definedName name="_xlnm.Print_Area" localSheetId="5">Grafik!$F$1:$X$51</definedName>
    <definedName name="_xlnm.Print_Area" localSheetId="4">'Lineare Korrektur'!$C$1:$Q$39</definedName>
    <definedName name="_xlnm.Print_Area" localSheetId="6">'Richtwerte Hofdünger'!$B$1:$T$79</definedName>
    <definedName name="_xlnm.Print_Area" localSheetId="0">Suisse_Bilanz_1.20!$B$5:$R$81,Suisse_Bilanz_1.20!$B$85:$R$171,Suisse_Bilanz_1.20!$B$198:$R$265,Suisse_Bilanz_1.20!$B$176:$R$192</definedName>
    <definedName name="_xlnm.Print_Area">Suisse_Bilanz_1.20!$B$5:$R$169</definedName>
    <definedName name="Druckbereich_Grafik">Grafik!$S$1:$X$51</definedName>
    <definedName name="_xlnm.Print_Titles" localSheetId="3">Daten!$E:$F,Daten!$1:$2</definedName>
    <definedName name="_xlnm.Print_Titles" localSheetId="4">'Lineare Korrektur'!$A:$A,'Lineare Korrektur'!$1:$9</definedName>
    <definedName name="Dünger">Suisse_Bilanz_1.20!$A$130</definedName>
    <definedName name="Einheit">Daten!$E$414:$E$421</definedName>
    <definedName name="ER_Gemuese" comment="Spalte A, Zeile ER-Gemüse">Suisse_Bilanz_1.20!$A$145</definedName>
    <definedName name="ER_Gemuese_NPKMg" comment="Nährstoffmenge muss 0 sein, damit die Zeile ausgeblendet werden darf">Suisse_Bilanz_1.20!$N$145:$Q$145</definedName>
    <definedName name="Gemüse">Suisse_Bilanz_1.20!$A$96</definedName>
    <definedName name="Getreide_GPS">Suisse_Bilanz_1.20!$A$63</definedName>
    <definedName name="GF_Zeile">Suisse_Bilanz_1.20!$B$50</definedName>
    <definedName name="GMF_Gebiet">GMF_1.11!$W$46:$Y$46</definedName>
    <definedName name="GMF_IE_Zeile">GMF_1.11!$B$19</definedName>
    <definedName name="GMF_Milchkuh_Zeile">GMF_1.11!$B$12</definedName>
    <definedName name="GMF_Milchschaf" comment="Beginn des Bereichs für Milchschafe im GMF">GMF_1.11!$B$15</definedName>
    <definedName name="GMF_Milchschaf_Zeile" comment="Ende des Bereichs Milchschaf im GMF Spalte B (Tierkategorie)">GMF_1.11!$B$16</definedName>
    <definedName name="GMF_Milchziege" comment="Beginn des Bereichs für Milchziegen im GMF">GMF_1.11!$B$13</definedName>
    <definedName name="GMF_Milchziege_Zeile" comment="Ende des Bereichs Milchziege im GMF Spalte B">GMF_1.11!$B$14</definedName>
    <definedName name="GMF_Rindviehmast_Zeile">GMF_1.11!$B$18</definedName>
    <definedName name="GMF_Start">GMF_1.11!$B$1</definedName>
    <definedName name="GMF_Tiere_Zeile">GMF_1.11!$B$22</definedName>
    <definedName name="Grundfutter_aFuFl" comment="Grundfutter von ausserhalb der Futterflächen">Daten!$E$473:$E$477</definedName>
    <definedName name="Grundfutter_Arten">Daten!$E$426:$E$469</definedName>
    <definedName name="Grundfutter_Liste">Daten!$E$426:$I$469</definedName>
    <definedName name="Hofd_Milchkuh_Zeile">Suisse_Bilanz_1.20!$A$226</definedName>
    <definedName name="Hofd_Milchschaf" comment="erste Zeile im Bereich für Milchschafe beim Hofdünger">Suisse_Bilanz_1.20!$A$231</definedName>
    <definedName name="Hofd_Milchschaf_Zeile">Suisse_Bilanz_1.20!$A$232</definedName>
    <definedName name="Hofd_Milchziege" comment="erste Zeile im Bereich Hofdünger für Milchziegen">Suisse_Bilanz_1.20!$A$229</definedName>
    <definedName name="Hofd_Milchziege_Zeile" comment="Ende Bereich für Milchziege bei  Hofdüngertabelle Spalte A">Suisse_Bilanz_1.20!$A$230</definedName>
    <definedName name="Hofd_Rindviehmast_Zeile">Suisse_Bilanz_1.20!$A$236</definedName>
    <definedName name="HofdIE">Suisse_Bilanz_1.20!$A$237</definedName>
    <definedName name="Hofdünger">Suisse_Bilanz_1.20!$A$240</definedName>
    <definedName name="ImExport">Suisse_Bilanz_1.20!$A$31</definedName>
    <definedName name="Kompost">Suisse_Bilanz_1.20!$A$128</definedName>
    <definedName name="Kulturen_Acker">Daten!$B$6:$B$67</definedName>
    <definedName name="Kulturen_Dauerkulturen">Daten!$B$227:$B$282</definedName>
    <definedName name="Kulturen_Gd">Daten!$B$68:$B$77</definedName>
    <definedName name="Kulturen_Gd_und_Gemüse">Daten!$B$74:$B$220</definedName>
    <definedName name="Kulturen_Gemüse">Daten!$B$80:$B$220</definedName>
    <definedName name="Kulturen_GF" comment="Kulturen, die Grundfutter geben">Daten!$F$69:$AC$72</definedName>
    <definedName name="Kulturen_GF_Liste">Daten!$F$69:$F$72</definedName>
    <definedName name="LinKorr">'Lineare Korrektur'!$C$43:$C$58</definedName>
    <definedName name="Milchkuh_Zeile">Suisse_Bilanz_1.20!$A$19</definedName>
    <definedName name="Milchschaf" comment="Beginn des Bereichs für Milchschafe ">Suisse_Bilanz_1.20!$A$25</definedName>
    <definedName name="Milchschaf_Anzahl">Suisse_Bilanz_1.20!$F$25:$F$26</definedName>
    <definedName name="Milchschaf_Zeile" comment="Ende des Bereichs Milchschaf in Spalte A">Suisse_Bilanz_1.20!$A$26</definedName>
    <definedName name="Milchziege" comment="Beginn des Bereichs für Milchziegen">Suisse_Bilanz_1.20!$A$22</definedName>
    <definedName name="Milchziege_Anzahl">Suisse_Bilanz_1.20!$F$22:$F$23</definedName>
    <definedName name="Milchziege_Zeile" comment="Ende des Bereichs für Milchziegen in Spalte A">Suisse_Bilanz_1.20!$A$23</definedName>
    <definedName name="Name_SB_3.Seite">Suisse_Bilanz_1.20!$A$113</definedName>
    <definedName name="org_HD">Suisse_Bilanz_1.20!$A$129</definedName>
    <definedName name="Produktions_Art">Daten!$E$491:$E$493</definedName>
    <definedName name="Rindviehmast">Suisse_Bilanz_1.20!$A$29</definedName>
    <definedName name="Rindviehmast_Titel" comment="Ort um den Titel einzublenden">Suisse_Bilanz_1.20!$A$28</definedName>
    <definedName name="Rindviehmast_Zeile">Suisse_Bilanz_1.20!$A$30</definedName>
    <definedName name="Samenproduktion">Suisse_Bilanz_1.20!$A$68</definedName>
    <definedName name="solver_lin" localSheetId="0" hidden="1">0</definedName>
    <definedName name="solver_num" localSheetId="0" hidden="1">0</definedName>
    <definedName name="solver_opt" localSheetId="0" hidden="1">Suisse_Bilanz_1.20!$Q$35</definedName>
    <definedName name="solver_typ" localSheetId="0" hidden="1">1</definedName>
    <definedName name="solver_val" localSheetId="0" hidden="1">0</definedName>
    <definedName name="Start">Suisse_Bilanz_1.20!$A$5</definedName>
    <definedName name="Texte">Daten!$G$496:$J$508</definedName>
    <definedName name="Tiere">Suisse_Bilanz_1.20!$A$34</definedName>
    <definedName name="Tierkat_IE">Daten!$B$379:$B$391</definedName>
    <definedName name="Tierkategorien">Daten!$B$289:$B$378</definedName>
    <definedName name="Unterschrift">Suisse_Bilanz_1.20!$A$171</definedName>
    <definedName name="vergärte_HofD_flü_Bezeichnung">Daten!$E$521:$E$523</definedName>
    <definedName name="vergärte_Recyclingdünger_flü_Bezeichnung">Daten!$E$524:$E$526</definedName>
    <definedName name="Vergärungsprodukte_fest">Suisse_Bilanz_1.20!$A$139</definedName>
    <definedName name="Vergärungsprodukte_flüssig">Suisse_Bilanz_1.20!$A$133</definedName>
    <definedName name="VergProd_fest">Suisse_Bilanz_1.20!$N$143:$Q$143</definedName>
    <definedName name="VergProd_fest_Bezeichnung">Daten!$E$529:$E$531</definedName>
    <definedName name="VergProd_fest_end" comment="Zelle Spalte 1 - Zeile Summe E2">Suisse_Bilanz_1.20!$A$143</definedName>
    <definedName name="VergProd_fest_Zeile">Suisse_Bilanz_1.20!$A$142</definedName>
    <definedName name="VergProd_flü_Bezeichnung">Daten!$E$521:$E$526</definedName>
    <definedName name="VergProd_flü_end" comment="Zelle Spalte 1 - Zeile Summe E1">Suisse_Bilanz_1.20!$A$138</definedName>
    <definedName name="VergProd_flü_RecD_Zeile" comment="Position zum Einfügen von 1 Leerzeile ">Suisse_Bilanz_1.20!$A$137</definedName>
    <definedName name="VergProd_flü_vgHD_Zeile" comment="Position zum Einfügen von 1 Leerzeile ">Suisse_Bilanz_1.20!$A$135</definedName>
    <definedName name="VergProd_flü_Zeile">Suisse_Bilanz_1.20!$A$136</definedName>
    <definedName name="VergProd_flüssig">Suisse_Bilanz_1.20!$N$138:$Q$138</definedName>
    <definedName name="Wiesen_Ertrag_Max" comment="Liste mit den max. möglichen Wiesenerträgen">Daten!$E$481:$R$487</definedName>
    <definedName name="ZuWegHofdünger">Suisse_Bilanz_1.20!$A$121</definedName>
    <definedName name="Zweitkulturen">Suisse_Bilanz_1.20!$A$103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1" i="2" l="1"/>
  <c r="A62" i="2"/>
  <c r="A61" i="2"/>
  <c r="AB72" i="10"/>
  <c r="AB71" i="10"/>
  <c r="AB70" i="10"/>
  <c r="Q70" i="10"/>
  <c r="B70" i="10"/>
  <c r="CE62" i="2"/>
  <c r="CE61" i="2"/>
  <c r="L61" i="2"/>
  <c r="K61" i="2"/>
  <c r="J61" i="2"/>
  <c r="L62" i="2"/>
  <c r="K62" i="2"/>
  <c r="J62" i="2"/>
  <c r="B108" i="10"/>
  <c r="B107" i="10"/>
  <c r="B106" i="10"/>
  <c r="B258" i="10"/>
  <c r="B219" i="10"/>
  <c r="B169" i="10"/>
  <c r="B183" i="10"/>
  <c r="B182" i="10"/>
  <c r="B181" i="10"/>
  <c r="B131" i="10"/>
  <c r="B128" i="10"/>
  <c r="B130" i="10"/>
  <c r="B129" i="10"/>
  <c r="B176" i="10"/>
  <c r="B175" i="10"/>
  <c r="B136" i="10"/>
  <c r="B168" i="10"/>
  <c r="B167" i="10"/>
  <c r="B166" i="10"/>
  <c r="B165" i="10"/>
  <c r="B164" i="10"/>
  <c r="B163" i="10"/>
  <c r="B162" i="10"/>
  <c r="B158" i="10"/>
  <c r="B139" i="10"/>
  <c r="B138" i="10"/>
  <c r="B99" i="10"/>
  <c r="B134" i="10"/>
  <c r="B96" i="10"/>
  <c r="B93" i="10"/>
  <c r="B88" i="10"/>
  <c r="B87" i="10"/>
  <c r="B82" i="10"/>
  <c r="CA62" i="2"/>
  <c r="CA61" i="2"/>
  <c r="CB61" i="2" s="1"/>
  <c r="B72" i="10"/>
  <c r="CB62" i="2" l="1"/>
  <c r="AB31" i="10"/>
  <c r="P71" i="10"/>
  <c r="B71" i="10"/>
  <c r="AB69" i="10"/>
  <c r="B69" i="10"/>
  <c r="Q8" i="10"/>
  <c r="B31" i="10"/>
  <c r="AB9" i="10"/>
  <c r="B9" i="10"/>
  <c r="Q30" i="10"/>
  <c r="N3" i="2"/>
  <c r="O25" i="2"/>
  <c r="N25" i="2"/>
  <c r="M25" i="2"/>
  <c r="O22" i="2"/>
  <c r="N22" i="2"/>
  <c r="M22" i="2"/>
  <c r="L25" i="2"/>
  <c r="K25" i="2"/>
  <c r="K22" i="2"/>
  <c r="A15" i="2"/>
  <c r="D25" i="2"/>
  <c r="D22" i="2"/>
  <c r="L22" i="2" s="1"/>
  <c r="P353" i="10"/>
  <c r="P348" i="10"/>
  <c r="P344" i="10"/>
  <c r="P346" i="10"/>
  <c r="P357" i="10"/>
  <c r="P338" i="10"/>
  <c r="P104" i="2"/>
  <c r="A229" i="2"/>
  <c r="A231" i="2"/>
  <c r="BJ229" i="2"/>
  <c r="BI229" i="2"/>
  <c r="BH229" i="2"/>
  <c r="BG229" i="2"/>
  <c r="BF229" i="2"/>
  <c r="BE229" i="2"/>
  <c r="AX229" i="2"/>
  <c r="AW229" i="2"/>
  <c r="AV229" i="2"/>
  <c r="AU229" i="2"/>
  <c r="AT229" i="2"/>
  <c r="AS229" i="2"/>
  <c r="AR229" i="2"/>
  <c r="AQ229" i="2"/>
  <c r="AP229" i="2"/>
  <c r="AO229" i="2"/>
  <c r="AN229" i="2"/>
  <c r="AM229" i="2"/>
  <c r="AF229" i="2"/>
  <c r="AE229" i="2"/>
  <c r="AD229" i="2"/>
  <c r="AC229" i="2"/>
  <c r="AB229" i="2"/>
  <c r="AA229" i="2"/>
  <c r="G229" i="2"/>
  <c r="F229" i="2"/>
  <c r="E229" i="2"/>
  <c r="Q229" i="2" s="1"/>
  <c r="BJ231" i="2"/>
  <c r="BI231" i="2"/>
  <c r="BH231" i="2"/>
  <c r="BG231" i="2"/>
  <c r="BF231" i="2"/>
  <c r="BE231" i="2"/>
  <c r="BD231" i="2"/>
  <c r="BC231" i="2"/>
  <c r="BB231" i="2"/>
  <c r="BA231" i="2"/>
  <c r="AZ231" i="2"/>
  <c r="AY231" i="2"/>
  <c r="AX231" i="2"/>
  <c r="AW231" i="2"/>
  <c r="AV231" i="2"/>
  <c r="AU231" i="2"/>
  <c r="AT231" i="2"/>
  <c r="AS231" i="2"/>
  <c r="AR231" i="2"/>
  <c r="AQ231" i="2"/>
  <c r="AP231" i="2"/>
  <c r="AO231" i="2"/>
  <c r="AN231" i="2"/>
  <c r="AM231" i="2"/>
  <c r="AL231" i="2"/>
  <c r="AK231" i="2"/>
  <c r="AJ231" i="2"/>
  <c r="AI231" i="2"/>
  <c r="AH231" i="2"/>
  <c r="AG231" i="2"/>
  <c r="AF231" i="2"/>
  <c r="AE231" i="2"/>
  <c r="AD231" i="2"/>
  <c r="AC231" i="2"/>
  <c r="AB231" i="2"/>
  <c r="AA231" i="2"/>
  <c r="G231" i="2"/>
  <c r="F231" i="2"/>
  <c r="E231" i="2"/>
  <c r="Q231" i="2" s="1"/>
  <c r="D231" i="2"/>
  <c r="D229" i="2"/>
  <c r="B229" i="2"/>
  <c r="B231" i="2"/>
  <c r="AB23" i="10"/>
  <c r="P340" i="10" l="1"/>
  <c r="H229" i="2"/>
  <c r="AY229" i="2" s="1"/>
  <c r="H231" i="2"/>
  <c r="B389" i="10"/>
  <c r="P231" i="2"/>
  <c r="O231" i="2"/>
  <c r="AG229" i="2" l="1"/>
  <c r="BT231" i="2"/>
  <c r="BL231" i="2"/>
  <c r="F15" i="12"/>
  <c r="Q25" i="2"/>
  <c r="P25" i="2"/>
  <c r="BQ231" i="2" s="1"/>
  <c r="BO231" i="2" l="1"/>
  <c r="U15" i="12"/>
  <c r="D15" i="12" s="1"/>
  <c r="C15" i="12"/>
  <c r="B15" i="12"/>
  <c r="E15" i="12" s="1"/>
  <c r="V15" i="12" s="1"/>
  <c r="R25" i="2"/>
  <c r="Z15" i="12" l="1"/>
  <c r="H15" i="12"/>
  <c r="L15" i="12"/>
  <c r="AA15" i="12" s="1"/>
  <c r="W15" i="12" l="1"/>
  <c r="O15" i="12" s="1"/>
  <c r="M15" i="12"/>
  <c r="P229" i="2"/>
  <c r="O229" i="2"/>
  <c r="B281" i="10"/>
  <c r="B272" i="10"/>
  <c r="B23" i="10"/>
  <c r="B319" i="10"/>
  <c r="B325" i="10"/>
  <c r="B324" i="10"/>
  <c r="I323" i="10"/>
  <c r="B323" i="10"/>
  <c r="B321" i="10"/>
  <c r="BC229" i="2" l="1"/>
  <c r="AK229" i="2"/>
  <c r="AL229" i="2"/>
  <c r="BD229" i="2"/>
  <c r="BT229" i="2"/>
  <c r="BL229" i="2"/>
  <c r="P22" i="2"/>
  <c r="BQ229" i="2" s="1"/>
  <c r="BO229" i="2" s="1"/>
  <c r="F13" i="12"/>
  <c r="Q22" i="2"/>
  <c r="AA167" i="2"/>
  <c r="B13" i="12" l="1"/>
  <c r="E13" i="12" s="1"/>
  <c r="C13" i="12"/>
  <c r="U13" i="12"/>
  <c r="D13" i="12" s="1"/>
  <c r="R22" i="2"/>
  <c r="S150" i="2"/>
  <c r="P150" i="2"/>
  <c r="V13" i="12" l="1"/>
  <c r="L13" i="12"/>
  <c r="AA13" i="12" s="1"/>
  <c r="Z13" i="12"/>
  <c r="H13" i="12"/>
  <c r="M150" i="2"/>
  <c r="W13" i="12" l="1"/>
  <c r="O13" i="12" s="1"/>
  <c r="M13" i="12"/>
  <c r="R141" i="2"/>
  <c r="S125" i="2"/>
  <c r="S131" i="2"/>
  <c r="S123" i="2"/>
  <c r="S122" i="2"/>
  <c r="R132" i="2"/>
  <c r="R134" i="2"/>
  <c r="R142" i="2"/>
  <c r="R137" i="2" l="1"/>
  <c r="T141" i="2" l="1"/>
  <c r="U141" i="2"/>
  <c r="U109" i="2"/>
  <c r="Y28" i="2"/>
  <c r="W28" i="2"/>
  <c r="V28" i="2"/>
  <c r="U28" i="2"/>
  <c r="S28" i="2"/>
  <c r="O142" i="2" l="1"/>
  <c r="O141" i="2"/>
  <c r="O134" i="2"/>
  <c r="U134" i="2" s="1"/>
  <c r="O136" i="2"/>
  <c r="N136" i="2"/>
  <c r="K68" i="11" l="1"/>
  <c r="I68" i="11"/>
  <c r="P302" i="10"/>
  <c r="BB29" i="2" l="1"/>
  <c r="W29" i="2" s="1"/>
  <c r="BD29" i="2"/>
  <c r="Y29" i="2" s="1"/>
  <c r="BC29" i="2" l="1"/>
  <c r="BE29" i="2"/>
  <c r="B129" i="2"/>
  <c r="I365" i="10" l="1"/>
  <c r="I364" i="10"/>
  <c r="I363" i="10"/>
  <c r="I362" i="10"/>
  <c r="I361" i="10"/>
  <c r="I360" i="10"/>
  <c r="I359" i="10"/>
  <c r="I358" i="10"/>
  <c r="I357" i="10"/>
  <c r="I356" i="10"/>
  <c r="I354" i="10"/>
  <c r="I353" i="10"/>
  <c r="I352" i="10"/>
  <c r="I351" i="10"/>
  <c r="I350" i="10"/>
  <c r="I348" i="10"/>
  <c r="I345" i="10"/>
  <c r="I344" i="10"/>
  <c r="I343" i="10"/>
  <c r="I342" i="10"/>
  <c r="I340" i="10"/>
  <c r="I337" i="10"/>
  <c r="T308" i="10"/>
  <c r="T307" i="10"/>
  <c r="T306" i="10"/>
  <c r="T305" i="10"/>
  <c r="T304" i="10"/>
  <c r="T303" i="10"/>
  <c r="T302" i="10"/>
  <c r="T301" i="10"/>
  <c r="T300" i="10"/>
  <c r="T299" i="10"/>
  <c r="T298" i="10"/>
  <c r="T297" i="10"/>
  <c r="T296" i="10"/>
  <c r="T295" i="10"/>
  <c r="T294" i="10"/>
  <c r="T293" i="10"/>
  <c r="T292" i="10"/>
  <c r="T291" i="10"/>
  <c r="T290" i="10"/>
  <c r="B339" i="10" l="1"/>
  <c r="Q145" i="2" l="1"/>
  <c r="P145" i="2"/>
  <c r="O145" i="2"/>
  <c r="M145" i="2"/>
  <c r="D20" i="2" l="1"/>
  <c r="BA29" i="2" l="1"/>
  <c r="AZ29" i="2"/>
  <c r="AY28" i="2"/>
  <c r="L29" i="2" l="1"/>
  <c r="O29" i="2"/>
  <c r="K29" i="2"/>
  <c r="N29" i="2"/>
  <c r="M29" i="2"/>
  <c r="L18" i="2" l="1"/>
  <c r="I297" i="10"/>
  <c r="I296" i="10"/>
  <c r="I295" i="10"/>
  <c r="I294" i="10"/>
  <c r="I292" i="10"/>
  <c r="I291" i="10"/>
  <c r="I290" i="10"/>
  <c r="I368" i="10"/>
  <c r="I367" i="10"/>
  <c r="I331" i="10"/>
  <c r="I330" i="10"/>
  <c r="I329" i="10"/>
  <c r="I328" i="10"/>
  <c r="I327" i="10"/>
  <c r="I326" i="10"/>
  <c r="I334" i="10"/>
  <c r="I333" i="10"/>
  <c r="I332" i="10"/>
  <c r="I313" i="10"/>
  <c r="I314" i="10"/>
  <c r="I315" i="10"/>
  <c r="I312" i="10"/>
  <c r="I310" i="10"/>
  <c r="I308" i="10"/>
  <c r="I306" i="10"/>
  <c r="I304" i="10"/>
  <c r="I303" i="10"/>
  <c r="I302" i="10"/>
  <c r="B302" i="10"/>
  <c r="I301" i="10"/>
  <c r="B301" i="10"/>
  <c r="I305" i="10"/>
  <c r="B307" i="10"/>
  <c r="B306" i="10"/>
  <c r="I307" i="10"/>
  <c r="P29" i="2" l="1"/>
  <c r="Q29" i="2"/>
  <c r="B243" i="10"/>
  <c r="B242" i="10"/>
  <c r="B241" i="10"/>
  <c r="AZ204" i="2" l="1"/>
  <c r="AZ203" i="2"/>
  <c r="AX204" i="2"/>
  <c r="AX203" i="2"/>
  <c r="AW204" i="2"/>
  <c r="AW203" i="2"/>
  <c r="BC203" i="2" l="1"/>
  <c r="BC204" i="2"/>
  <c r="BD204" i="2"/>
  <c r="BB203" i="2"/>
  <c r="AA77" i="10" l="1"/>
  <c r="Z77" i="10"/>
  <c r="M77" i="10"/>
  <c r="L77" i="10"/>
  <c r="K77" i="10"/>
  <c r="J77" i="10"/>
  <c r="I77" i="10"/>
  <c r="H77" i="10"/>
  <c r="G77" i="10"/>
  <c r="F77" i="10"/>
  <c r="E77" i="10"/>
  <c r="U16" i="2" l="1"/>
  <c r="X18" i="2" l="1"/>
  <c r="AZ18" i="2" s="1"/>
  <c r="W17" i="2"/>
  <c r="W16" i="2"/>
  <c r="V17" i="2"/>
  <c r="V16" i="2"/>
  <c r="Y16" i="2" l="1"/>
  <c r="S15" i="2" s="1"/>
  <c r="X16" i="2"/>
  <c r="X17" i="2"/>
  <c r="U17" i="2"/>
  <c r="Y17" i="2" l="1"/>
  <c r="Y18" i="2"/>
  <c r="BA18" i="2"/>
  <c r="K273" i="10" l="1"/>
  <c r="AF51" i="11" l="1"/>
  <c r="AE51" i="11"/>
  <c r="AD51" i="11"/>
  <c r="AC51" i="11"/>
  <c r="AB51" i="11"/>
  <c r="AA51" i="11"/>
  <c r="Z51" i="11"/>
  <c r="Y51" i="11"/>
  <c r="X51" i="11"/>
  <c r="W51" i="11"/>
  <c r="V51" i="11"/>
  <c r="R51" i="11"/>
  <c r="P51" i="11"/>
  <c r="I140" i="2" l="1"/>
  <c r="Q141" i="2"/>
  <c r="P141" i="2"/>
  <c r="M141" i="2"/>
  <c r="I141" i="2"/>
  <c r="N141" i="2" s="1"/>
  <c r="Q134" i="2"/>
  <c r="P134" i="2"/>
  <c r="M134" i="2"/>
  <c r="B311" i="10" l="1"/>
  <c r="T79" i="11" l="1"/>
  <c r="S79" i="11"/>
  <c r="R79" i="11"/>
  <c r="Q79" i="11"/>
  <c r="Q76" i="11"/>
  <c r="T76" i="11"/>
  <c r="S76" i="11"/>
  <c r="R76" i="11"/>
  <c r="P76" i="11"/>
  <c r="AB42" i="10" l="1"/>
  <c r="AB41" i="10"/>
  <c r="AB40" i="10"/>
  <c r="AB39" i="10"/>
  <c r="AB38" i="10"/>
  <c r="AB22" i="10"/>
  <c r="AB77" i="10" s="1"/>
  <c r="AB15" i="10"/>
  <c r="AB14" i="10"/>
  <c r="AB13" i="10"/>
  <c r="AB27" i="10"/>
  <c r="AB26" i="10"/>
  <c r="AB25" i="10"/>
  <c r="BG45" i="2"/>
  <c r="BG44" i="2"/>
  <c r="BH45" i="2" l="1"/>
  <c r="BH44" i="2"/>
  <c r="BH62" i="2"/>
  <c r="Y60" i="12" l="1"/>
  <c r="H52" i="12" l="1"/>
  <c r="O18" i="2" l="1"/>
  <c r="N18" i="2"/>
  <c r="M18" i="2"/>
  <c r="M39" i="9" l="1"/>
  <c r="L39" i="9"/>
  <c r="K39" i="9"/>
  <c r="Q485" i="10" l="1"/>
  <c r="Q484" i="10"/>
  <c r="H484" i="10" s="1"/>
  <c r="H485" i="10"/>
  <c r="I485" i="10"/>
  <c r="I484" i="10"/>
  <c r="L357" i="10"/>
  <c r="K357" i="10"/>
  <c r="L353" i="10"/>
  <c r="K353" i="10"/>
  <c r="I347" i="10"/>
  <c r="I346" i="10"/>
  <c r="I338" i="10"/>
  <c r="B295" i="10"/>
  <c r="B119" i="10" l="1"/>
  <c r="B135" i="10"/>
  <c r="B147" i="10"/>
  <c r="B146" i="10"/>
  <c r="B109" i="10"/>
  <c r="B94" i="10"/>
  <c r="B38" i="10"/>
  <c r="B42" i="10"/>
  <c r="B41" i="10"/>
  <c r="B40" i="10"/>
  <c r="B39" i="10"/>
  <c r="B15" i="10"/>
  <c r="B14" i="10"/>
  <c r="B13" i="10"/>
  <c r="B27" i="10"/>
  <c r="B26" i="10"/>
  <c r="B25" i="10"/>
  <c r="B22" i="10"/>
  <c r="B77" i="10" s="1"/>
  <c r="I64" i="11" l="1"/>
  <c r="F78" i="2" l="1"/>
  <c r="L111" i="2"/>
  <c r="L63" i="2" l="1"/>
  <c r="L64" i="2"/>
  <c r="K64" i="2"/>
  <c r="K63" i="2"/>
  <c r="J64" i="2"/>
  <c r="J63" i="2"/>
  <c r="P308" i="10"/>
  <c r="P307" i="10"/>
  <c r="BB18" i="2" l="1"/>
  <c r="E18" i="2" s="1"/>
  <c r="I142" i="2" l="1"/>
  <c r="M142" i="2"/>
  <c r="N142" i="2"/>
  <c r="P142" i="2"/>
  <c r="Q142" i="2"/>
  <c r="Q136" i="2"/>
  <c r="Q138" i="2" s="1"/>
  <c r="P136" i="2"/>
  <c r="P138" i="2" s="1"/>
  <c r="O138" i="2"/>
  <c r="AB66" i="10"/>
  <c r="B66" i="10"/>
  <c r="AB65" i="10"/>
  <c r="Q65" i="10"/>
  <c r="B65" i="10"/>
  <c r="B310" i="10"/>
  <c r="B312" i="10"/>
  <c r="H64" i="2" l="1"/>
  <c r="H63" i="2"/>
  <c r="P64" i="2" l="1"/>
  <c r="N64" i="2"/>
  <c r="O64" i="2"/>
  <c r="O63" i="2"/>
  <c r="P63" i="2"/>
  <c r="N63" i="2"/>
  <c r="M64" i="2"/>
  <c r="M63" i="2"/>
  <c r="B314" i="10"/>
  <c r="W1" i="13" l="1"/>
  <c r="V1" i="13"/>
  <c r="S1" i="13"/>
  <c r="O28" i="13"/>
  <c r="N28" i="13"/>
  <c r="B23" i="13"/>
  <c r="O4" i="13"/>
  <c r="N4" i="13"/>
  <c r="U118" i="2" l="1"/>
  <c r="T118" i="2"/>
  <c r="V122" i="2"/>
  <c r="V123" i="2"/>
  <c r="U121" i="2"/>
  <c r="T121" i="2"/>
  <c r="S118" i="2"/>
  <c r="S132" i="2" s="1"/>
  <c r="S117" i="2"/>
  <c r="U154" i="2"/>
  <c r="T154" i="2"/>
  <c r="X57" i="2"/>
  <c r="Y1" i="10"/>
  <c r="S166" i="2"/>
  <c r="R169" i="2"/>
  <c r="Z169" i="2"/>
  <c r="AF172" i="2" s="1"/>
  <c r="G496" i="10"/>
  <c r="Q166" i="2"/>
  <c r="R168" i="2"/>
  <c r="R167" i="2"/>
  <c r="BA72" i="2"/>
  <c r="BB72" i="2" s="1"/>
  <c r="BA73" i="2"/>
  <c r="BB73" i="2" s="1"/>
  <c r="BA74" i="2"/>
  <c r="BB74" i="2" s="1"/>
  <c r="S74" i="2" s="1"/>
  <c r="BD18" i="2"/>
  <c r="BF18" i="2" s="1"/>
  <c r="BN54" i="2"/>
  <c r="BS54" i="2" s="1"/>
  <c r="BN53" i="2"/>
  <c r="BS53" i="2" s="1"/>
  <c r="BN52" i="2"/>
  <c r="BS52" i="2" s="1"/>
  <c r="BN51" i="2"/>
  <c r="BS51" i="2" s="1"/>
  <c r="BN50" i="2"/>
  <c r="BS50" i="2" s="1"/>
  <c r="BN49" i="2"/>
  <c r="BS49" i="2" s="1"/>
  <c r="BN48" i="2"/>
  <c r="BN47" i="2"/>
  <c r="BS47" i="2" s="1"/>
  <c r="BN46" i="2"/>
  <c r="BS46" i="2" s="1"/>
  <c r="O49" i="2"/>
  <c r="O50" i="2"/>
  <c r="H62" i="2"/>
  <c r="CD62" i="2" s="1"/>
  <c r="H65" i="2"/>
  <c r="H66" i="2"/>
  <c r="H67" i="2"/>
  <c r="H68" i="2"/>
  <c r="P68" i="2" s="1"/>
  <c r="H69" i="2"/>
  <c r="P69" i="2" s="1"/>
  <c r="F79" i="2"/>
  <c r="BH50" i="2"/>
  <c r="A157" i="2"/>
  <c r="N125" i="2"/>
  <c r="N126" i="2"/>
  <c r="N127" i="2"/>
  <c r="N128" i="2"/>
  <c r="N129" i="2"/>
  <c r="N130" i="2"/>
  <c r="N133" i="2"/>
  <c r="R133" i="2" s="1"/>
  <c r="N140" i="2"/>
  <c r="R140" i="2" s="1"/>
  <c r="F107" i="2"/>
  <c r="K107" i="2" s="1"/>
  <c r="O119" i="2"/>
  <c r="O120" i="2"/>
  <c r="U120" i="2" s="1"/>
  <c r="O121" i="2"/>
  <c r="O125" i="2"/>
  <c r="O127" i="2"/>
  <c r="O128" i="2"/>
  <c r="O129" i="2"/>
  <c r="O130" i="2"/>
  <c r="O143" i="2"/>
  <c r="P169" i="2"/>
  <c r="M169" i="2"/>
  <c r="H496" i="10"/>
  <c r="J496" i="10" s="1"/>
  <c r="J7" i="2"/>
  <c r="Q127" i="2"/>
  <c r="P127" i="2"/>
  <c r="Q128" i="2"/>
  <c r="P128" i="2"/>
  <c r="I128" i="2"/>
  <c r="I127" i="2"/>
  <c r="AB7" i="10"/>
  <c r="AB67" i="10"/>
  <c r="AB64" i="10"/>
  <c r="AB63" i="10"/>
  <c r="AB62" i="10"/>
  <c r="AB61" i="10"/>
  <c r="AB60" i="10"/>
  <c r="AB59" i="10"/>
  <c r="AB58" i="10"/>
  <c r="AB57" i="10"/>
  <c r="AB56" i="10"/>
  <c r="AB55" i="10"/>
  <c r="AB54" i="10"/>
  <c r="AB53" i="10"/>
  <c r="AB52" i="10"/>
  <c r="AB51" i="10"/>
  <c r="AB50" i="10"/>
  <c r="AB49" i="10"/>
  <c r="AB48" i="10"/>
  <c r="AB47" i="10"/>
  <c r="AB46" i="10"/>
  <c r="AB45" i="10"/>
  <c r="AB44" i="10"/>
  <c r="AB43" i="10"/>
  <c r="AB37" i="10"/>
  <c r="AB36" i="10"/>
  <c r="AB35" i="10"/>
  <c r="AB34" i="10"/>
  <c r="AB33" i="10"/>
  <c r="AB32" i="10"/>
  <c r="AB30" i="10"/>
  <c r="AB29" i="10"/>
  <c r="AB28" i="10"/>
  <c r="AB24" i="10"/>
  <c r="AB21" i="10"/>
  <c r="AB20" i="10"/>
  <c r="AB19" i="10"/>
  <c r="AB18" i="10"/>
  <c r="AB17" i="10"/>
  <c r="AB16" i="10"/>
  <c r="AB12" i="10"/>
  <c r="AB11" i="10"/>
  <c r="AB10" i="10"/>
  <c r="AB6" i="10"/>
  <c r="B178" i="10"/>
  <c r="B299" i="10"/>
  <c r="P303" i="10"/>
  <c r="T68" i="11"/>
  <c r="S68" i="11"/>
  <c r="R68" i="11"/>
  <c r="P68" i="11"/>
  <c r="T67" i="11"/>
  <c r="S67" i="11"/>
  <c r="R67" i="11"/>
  <c r="P67" i="11"/>
  <c r="T62" i="11"/>
  <c r="S62" i="11"/>
  <c r="R62" i="11"/>
  <c r="Q62" i="11"/>
  <c r="P62" i="11"/>
  <c r="T49" i="11"/>
  <c r="S49" i="11"/>
  <c r="R49" i="11"/>
  <c r="Q49" i="11"/>
  <c r="P49" i="11"/>
  <c r="T47" i="11"/>
  <c r="S47" i="11"/>
  <c r="R47" i="11"/>
  <c r="Q47" i="11"/>
  <c r="P47" i="11"/>
  <c r="T48" i="11"/>
  <c r="S48" i="11"/>
  <c r="R48" i="11"/>
  <c r="Q48" i="11"/>
  <c r="P48" i="11"/>
  <c r="T46" i="11"/>
  <c r="S46" i="11"/>
  <c r="R46" i="11"/>
  <c r="Q46" i="11"/>
  <c r="P46" i="11"/>
  <c r="T43" i="11"/>
  <c r="S43" i="11"/>
  <c r="R43" i="11"/>
  <c r="Q43" i="11"/>
  <c r="P43" i="11"/>
  <c r="T42" i="11"/>
  <c r="S42" i="11"/>
  <c r="R42" i="11"/>
  <c r="Q42" i="11"/>
  <c r="P42" i="11"/>
  <c r="T41" i="11"/>
  <c r="S41" i="11"/>
  <c r="R41" i="11"/>
  <c r="Q41" i="11"/>
  <c r="P41" i="11"/>
  <c r="T39" i="11"/>
  <c r="S39" i="11"/>
  <c r="R39" i="11"/>
  <c r="Q39" i="11"/>
  <c r="P39" i="11"/>
  <c r="T38" i="11"/>
  <c r="S38" i="11"/>
  <c r="R38" i="11"/>
  <c r="Q38" i="11"/>
  <c r="P38" i="11"/>
  <c r="T30" i="11"/>
  <c r="S30" i="11"/>
  <c r="R30" i="11"/>
  <c r="Q30" i="11"/>
  <c r="P30" i="11"/>
  <c r="T27" i="11"/>
  <c r="S27" i="11"/>
  <c r="R27" i="11"/>
  <c r="Q27" i="11"/>
  <c r="P27" i="11"/>
  <c r="T24" i="11"/>
  <c r="S24" i="11"/>
  <c r="R24" i="11"/>
  <c r="Q24" i="11"/>
  <c r="P24" i="11"/>
  <c r="T21" i="11"/>
  <c r="S21" i="11"/>
  <c r="R21" i="11"/>
  <c r="Q21" i="11"/>
  <c r="P21" i="11"/>
  <c r="T18" i="11"/>
  <c r="S18" i="11"/>
  <c r="R18" i="11"/>
  <c r="Q18" i="11"/>
  <c r="P18" i="11"/>
  <c r="T15" i="11"/>
  <c r="S15" i="11"/>
  <c r="R15" i="11"/>
  <c r="Q15" i="11"/>
  <c r="P15" i="11"/>
  <c r="T14" i="11"/>
  <c r="S14" i="11"/>
  <c r="R14" i="11"/>
  <c r="Q14" i="11"/>
  <c r="P14" i="11"/>
  <c r="T11" i="11"/>
  <c r="S11" i="11"/>
  <c r="R11" i="11"/>
  <c r="Q11" i="11"/>
  <c r="P11" i="11"/>
  <c r="Q8" i="11"/>
  <c r="T8" i="11"/>
  <c r="S8" i="11"/>
  <c r="R8" i="11"/>
  <c r="P8" i="11"/>
  <c r="F82" i="12"/>
  <c r="I98" i="12" s="1"/>
  <c r="J80" i="12"/>
  <c r="J82" i="12" s="1"/>
  <c r="L482" i="10"/>
  <c r="L483" i="10"/>
  <c r="L486" i="10"/>
  <c r="L487" i="10"/>
  <c r="L481" i="10"/>
  <c r="BD77" i="2" s="1"/>
  <c r="D16" i="2"/>
  <c r="M486" i="10"/>
  <c r="M483" i="10"/>
  <c r="M482" i="10"/>
  <c r="I2" i="12"/>
  <c r="I1" i="12"/>
  <c r="J5" i="12"/>
  <c r="AA196" i="2"/>
  <c r="BH56" i="2"/>
  <c r="I487" i="10"/>
  <c r="I486" i="10"/>
  <c r="I483" i="10"/>
  <c r="I482" i="10"/>
  <c r="I481" i="10"/>
  <c r="BA75" i="2" s="1"/>
  <c r="P479" i="10"/>
  <c r="P486" i="10" s="1"/>
  <c r="H481" i="10"/>
  <c r="H487" i="10"/>
  <c r="L32" i="9"/>
  <c r="M32" i="9"/>
  <c r="Q69" i="2"/>
  <c r="Q68" i="2"/>
  <c r="M68" i="2"/>
  <c r="F225" i="2"/>
  <c r="G225" i="2"/>
  <c r="G82" i="12"/>
  <c r="I82" i="12"/>
  <c r="H82" i="12"/>
  <c r="I80" i="12"/>
  <c r="F81" i="12" s="1"/>
  <c r="H80" i="12"/>
  <c r="G80" i="12"/>
  <c r="E80" i="12"/>
  <c r="P304" i="10"/>
  <c r="L79" i="12"/>
  <c r="M79" i="12" s="1"/>
  <c r="L78" i="12"/>
  <c r="M78" i="12" s="1"/>
  <c r="L77" i="12"/>
  <c r="M77" i="12" s="1"/>
  <c r="L76" i="12"/>
  <c r="M76" i="12" s="1"/>
  <c r="L75" i="12"/>
  <c r="M75" i="12" s="1"/>
  <c r="L74" i="12"/>
  <c r="M74" i="12" s="1"/>
  <c r="L73" i="12"/>
  <c r="M73" i="12" s="1"/>
  <c r="I3" i="12"/>
  <c r="BT54" i="2"/>
  <c r="BT53" i="2"/>
  <c r="BT52" i="2"/>
  <c r="BT51" i="2"/>
  <c r="BT50" i="2"/>
  <c r="BT49" i="2"/>
  <c r="BT48" i="2"/>
  <c r="BT47" i="2"/>
  <c r="BT46" i="2"/>
  <c r="BR54" i="2"/>
  <c r="BQ54" i="2"/>
  <c r="BR53" i="2"/>
  <c r="BQ53" i="2"/>
  <c r="BR52" i="2"/>
  <c r="BQ52" i="2"/>
  <c r="BR51" i="2"/>
  <c r="BQ51" i="2"/>
  <c r="BR50" i="2"/>
  <c r="BQ50" i="2"/>
  <c r="BR49" i="2"/>
  <c r="BQ49" i="2"/>
  <c r="BR48" i="2"/>
  <c r="BQ48" i="2"/>
  <c r="BR47" i="2"/>
  <c r="BQ47" i="2"/>
  <c r="BR46" i="2"/>
  <c r="BQ46" i="2"/>
  <c r="F250" i="2"/>
  <c r="Q250" i="2" s="1"/>
  <c r="Q248" i="2"/>
  <c r="C18" i="2"/>
  <c r="B2" i="12"/>
  <c r="L10" i="12"/>
  <c r="K10" i="12"/>
  <c r="N10" i="12"/>
  <c r="M10" i="12"/>
  <c r="N9" i="12"/>
  <c r="M9" i="12"/>
  <c r="L9" i="12"/>
  <c r="K9" i="12"/>
  <c r="B52" i="12"/>
  <c r="B8" i="12"/>
  <c r="B4" i="12"/>
  <c r="F10" i="12"/>
  <c r="B6" i="10"/>
  <c r="N104" i="2"/>
  <c r="N99" i="2"/>
  <c r="N105" i="2"/>
  <c r="N106" i="2"/>
  <c r="M104" i="2"/>
  <c r="M99" i="2"/>
  <c r="M105" i="2"/>
  <c r="M106" i="2"/>
  <c r="O113" i="2"/>
  <c r="O85" i="2"/>
  <c r="L113" i="2"/>
  <c r="O8" i="2"/>
  <c r="M1" i="12" s="1"/>
  <c r="Q143" i="2"/>
  <c r="Q146" i="2" s="1"/>
  <c r="Q120" i="2"/>
  <c r="Q121" i="2"/>
  <c r="Q119" i="2"/>
  <c r="Q129" i="2"/>
  <c r="P143" i="2"/>
  <c r="P146" i="2" s="1"/>
  <c r="P120" i="2"/>
  <c r="P121" i="2"/>
  <c r="P119" i="2"/>
  <c r="P129" i="2"/>
  <c r="B227" i="10"/>
  <c r="A99" i="2" s="1"/>
  <c r="G99" i="2" s="1"/>
  <c r="I99" i="2" s="1"/>
  <c r="P99" i="2"/>
  <c r="P105" i="2"/>
  <c r="P106" i="2"/>
  <c r="O99" i="2"/>
  <c r="O105" i="2"/>
  <c r="O106" i="2"/>
  <c r="O104" i="2"/>
  <c r="M119" i="2"/>
  <c r="M199" i="2"/>
  <c r="M65" i="2"/>
  <c r="O68" i="2"/>
  <c r="B382" i="10"/>
  <c r="B289" i="10"/>
  <c r="E240" i="2"/>
  <c r="F240" i="2"/>
  <c r="G240" i="2"/>
  <c r="E239" i="2"/>
  <c r="F239" i="2"/>
  <c r="G239" i="2"/>
  <c r="E238" i="2"/>
  <c r="F238" i="2"/>
  <c r="G238" i="2"/>
  <c r="E237" i="2"/>
  <c r="F237" i="2"/>
  <c r="G237" i="2"/>
  <c r="F236" i="2"/>
  <c r="G236" i="2"/>
  <c r="E235" i="2"/>
  <c r="F235" i="2"/>
  <c r="G235" i="2"/>
  <c r="K32" i="9"/>
  <c r="B26" i="9"/>
  <c r="B25" i="9"/>
  <c r="C376" i="10" s="1"/>
  <c r="N376" i="10" s="1"/>
  <c r="B23" i="9"/>
  <c r="E375" i="10" s="1"/>
  <c r="B22" i="9"/>
  <c r="C375" i="10" s="1"/>
  <c r="N375" i="10" s="1"/>
  <c r="B20" i="9"/>
  <c r="E374" i="10" s="1"/>
  <c r="B19" i="9"/>
  <c r="C374" i="10" s="1"/>
  <c r="N374" i="10" s="1"/>
  <c r="B17" i="9"/>
  <c r="E373" i="10" s="1"/>
  <c r="B16" i="9"/>
  <c r="C373" i="10" s="1"/>
  <c r="N373" i="10" s="1"/>
  <c r="B14" i="9"/>
  <c r="B11" i="9"/>
  <c r="E371" i="10" s="1"/>
  <c r="B336" i="10"/>
  <c r="B13" i="9"/>
  <c r="C372" i="10" s="1"/>
  <c r="N372" i="10" s="1"/>
  <c r="B337" i="10"/>
  <c r="B29" i="9"/>
  <c r="C29" i="9" s="1"/>
  <c r="F377" i="10" s="1"/>
  <c r="B28" i="9"/>
  <c r="C377" i="10" s="1"/>
  <c r="N377" i="10" s="1"/>
  <c r="B32" i="9"/>
  <c r="E378" i="10" s="1"/>
  <c r="B338" i="10"/>
  <c r="B340" i="10"/>
  <c r="G38" i="9"/>
  <c r="L38" i="9" s="1"/>
  <c r="B391" i="10"/>
  <c r="B390" i="10"/>
  <c r="B388" i="10"/>
  <c r="B387" i="10"/>
  <c r="B386" i="10"/>
  <c r="B385" i="10"/>
  <c r="B384" i="10"/>
  <c r="B383" i="10"/>
  <c r="B381" i="10"/>
  <c r="B380" i="10"/>
  <c r="M121" i="2"/>
  <c r="M120" i="2"/>
  <c r="I65" i="2"/>
  <c r="I66" i="2"/>
  <c r="M66" i="2" s="1"/>
  <c r="M70" i="2"/>
  <c r="M71" i="2"/>
  <c r="R28" i="9"/>
  <c r="S25" i="9"/>
  <c r="R19" i="9"/>
  <c r="J353" i="10"/>
  <c r="AB68" i="11"/>
  <c r="AA68" i="11" s="1"/>
  <c r="K67" i="11"/>
  <c r="C1" i="9"/>
  <c r="B290" i="10"/>
  <c r="B291" i="10"/>
  <c r="B292" i="10"/>
  <c r="B293" i="10"/>
  <c r="B294" i="10"/>
  <c r="B296" i="10"/>
  <c r="B297" i="10"/>
  <c r="B298" i="10"/>
  <c r="B300" i="10"/>
  <c r="B303" i="10"/>
  <c r="B304" i="10"/>
  <c r="B305" i="10"/>
  <c r="B313" i="10"/>
  <c r="B315" i="10"/>
  <c r="B317" i="10"/>
  <c r="B318" i="10"/>
  <c r="B320" i="10"/>
  <c r="B322" i="10"/>
  <c r="B326" i="10"/>
  <c r="B327" i="10"/>
  <c r="B328" i="10"/>
  <c r="B329" i="10"/>
  <c r="B330" i="10"/>
  <c r="B331" i="10"/>
  <c r="B332" i="10"/>
  <c r="B333" i="10"/>
  <c r="B334" i="10"/>
  <c r="B341" i="10"/>
  <c r="B342" i="10"/>
  <c r="B343" i="10"/>
  <c r="B344" i="10"/>
  <c r="B345" i="10"/>
  <c r="B346" i="10"/>
  <c r="B347" i="10"/>
  <c r="B348" i="10"/>
  <c r="B350" i="10"/>
  <c r="B351" i="10"/>
  <c r="B352" i="10"/>
  <c r="B353" i="10"/>
  <c r="B354" i="10"/>
  <c r="B355" i="10"/>
  <c r="B356" i="10"/>
  <c r="B357" i="10"/>
  <c r="B358" i="10"/>
  <c r="B359" i="10"/>
  <c r="B360" i="10"/>
  <c r="B361" i="10"/>
  <c r="B362" i="10"/>
  <c r="B363" i="10"/>
  <c r="B364" i="10"/>
  <c r="B365" i="10"/>
  <c r="B367" i="10"/>
  <c r="B368" i="10"/>
  <c r="E225" i="2"/>
  <c r="D225" i="2"/>
  <c r="K192" i="2"/>
  <c r="J192" i="2"/>
  <c r="K191" i="2"/>
  <c r="J191" i="2"/>
  <c r="K190" i="2"/>
  <c r="J190" i="2"/>
  <c r="K189" i="2"/>
  <c r="J189" i="2"/>
  <c r="K188" i="2"/>
  <c r="K185" i="2" s="1"/>
  <c r="J188" i="2"/>
  <c r="J185" i="2" s="1"/>
  <c r="I67" i="11"/>
  <c r="Q67" i="11" s="1"/>
  <c r="AF68" i="11"/>
  <c r="AE68" i="11"/>
  <c r="AD68" i="11"/>
  <c r="AC68" i="11"/>
  <c r="Z68" i="11"/>
  <c r="Y68" i="11"/>
  <c r="X68" i="11"/>
  <c r="W68" i="11"/>
  <c r="V68" i="11"/>
  <c r="AF67" i="11"/>
  <c r="AE67" i="11"/>
  <c r="AD67" i="11"/>
  <c r="AC67" i="11"/>
  <c r="AB67" i="11"/>
  <c r="AA67" i="11" s="1"/>
  <c r="Y67" i="11"/>
  <c r="X67" i="11"/>
  <c r="W67" i="11"/>
  <c r="V67" i="11"/>
  <c r="AF49" i="11"/>
  <c r="AE49" i="11"/>
  <c r="AD49" i="11"/>
  <c r="AC49" i="11"/>
  <c r="AB49" i="11"/>
  <c r="AA49" i="11" s="1"/>
  <c r="Z49" i="11"/>
  <c r="Y49" i="11"/>
  <c r="X49" i="11"/>
  <c r="W49" i="11"/>
  <c r="V49" i="11"/>
  <c r="AF48" i="11"/>
  <c r="AE48" i="11"/>
  <c r="AD48" i="11"/>
  <c r="AC48" i="11"/>
  <c r="AB48" i="11"/>
  <c r="AA48" i="11" s="1"/>
  <c r="Z48" i="11"/>
  <c r="Y48" i="11"/>
  <c r="X48" i="11"/>
  <c r="W48" i="11"/>
  <c r="V48" i="11"/>
  <c r="AF47" i="11"/>
  <c r="AE47" i="11"/>
  <c r="AD47" i="11"/>
  <c r="AC47" i="11"/>
  <c r="AB47" i="11"/>
  <c r="AA47" i="11" s="1"/>
  <c r="Z47" i="11"/>
  <c r="Y47" i="11"/>
  <c r="X47" i="11"/>
  <c r="W47" i="11"/>
  <c r="V47" i="11"/>
  <c r="AF46" i="11"/>
  <c r="AE46" i="11"/>
  <c r="AD46" i="11"/>
  <c r="AC46" i="11"/>
  <c r="AB46" i="11"/>
  <c r="AA46" i="11" s="1"/>
  <c r="Z46" i="11"/>
  <c r="Y46" i="11"/>
  <c r="X46" i="11"/>
  <c r="W46" i="11"/>
  <c r="V46" i="11"/>
  <c r="O33" i="11"/>
  <c r="O34" i="11" s="1"/>
  <c r="N33" i="11"/>
  <c r="M33" i="11"/>
  <c r="L33" i="11"/>
  <c r="R33" i="11" s="1"/>
  <c r="K33" i="11"/>
  <c r="K34" i="11" s="1"/>
  <c r="I33" i="11"/>
  <c r="I34" i="11" s="1"/>
  <c r="H33" i="11"/>
  <c r="H34" i="11" s="1"/>
  <c r="G33" i="11"/>
  <c r="P33" i="11" s="1"/>
  <c r="F33" i="11"/>
  <c r="F35" i="11" s="1"/>
  <c r="E33" i="11"/>
  <c r="E35" i="11" s="1"/>
  <c r="V35" i="11" s="1"/>
  <c r="O35" i="11"/>
  <c r="E34" i="11"/>
  <c r="V34" i="11" s="1"/>
  <c r="AF41" i="11"/>
  <c r="AE41" i="11"/>
  <c r="AD41" i="11"/>
  <c r="AC41" i="11"/>
  <c r="AB41" i="11"/>
  <c r="AA41" i="11" s="1"/>
  <c r="Z41" i="11"/>
  <c r="Y41" i="11"/>
  <c r="X41" i="11"/>
  <c r="W41" i="11"/>
  <c r="V41" i="11"/>
  <c r="O28" i="11"/>
  <c r="E28" i="11"/>
  <c r="V28" i="11" s="1"/>
  <c r="N28" i="11"/>
  <c r="M28" i="11"/>
  <c r="L28" i="11"/>
  <c r="K28" i="11"/>
  <c r="I28" i="11"/>
  <c r="H28" i="11"/>
  <c r="G28" i="11"/>
  <c r="F28" i="11"/>
  <c r="O25" i="11"/>
  <c r="E25" i="11"/>
  <c r="V25" i="11" s="1"/>
  <c r="N25" i="11"/>
  <c r="M25" i="11"/>
  <c r="L25" i="11"/>
  <c r="K25" i="11"/>
  <c r="I25" i="11"/>
  <c r="H25" i="11"/>
  <c r="G25" i="11"/>
  <c r="F25" i="11"/>
  <c r="E29" i="11"/>
  <c r="V29" i="11" s="1"/>
  <c r="O29" i="11"/>
  <c r="N29" i="11"/>
  <c r="M29" i="11"/>
  <c r="L29" i="11"/>
  <c r="K29" i="11"/>
  <c r="I29" i="11"/>
  <c r="H29" i="11"/>
  <c r="G29" i="11"/>
  <c r="F29" i="11"/>
  <c r="O26" i="11"/>
  <c r="E26" i="11"/>
  <c r="V26" i="11" s="1"/>
  <c r="N26" i="11"/>
  <c r="M26" i="11"/>
  <c r="L26" i="11"/>
  <c r="K26" i="11"/>
  <c r="I26" i="11"/>
  <c r="H26" i="11"/>
  <c r="G26" i="11"/>
  <c r="F26" i="11"/>
  <c r="F20" i="11"/>
  <c r="E20" i="11"/>
  <c r="V20" i="11" s="1"/>
  <c r="F19" i="11"/>
  <c r="E19" i="11"/>
  <c r="V19" i="11" s="1"/>
  <c r="O20" i="11"/>
  <c r="N20" i="11"/>
  <c r="M20" i="11"/>
  <c r="L20" i="11"/>
  <c r="K20" i="11"/>
  <c r="I20" i="11"/>
  <c r="H20" i="11"/>
  <c r="G20" i="11"/>
  <c r="O19" i="11"/>
  <c r="N19" i="11"/>
  <c r="M19" i="11"/>
  <c r="L19" i="11"/>
  <c r="K19" i="11"/>
  <c r="I19" i="11"/>
  <c r="H19" i="11"/>
  <c r="G19" i="11"/>
  <c r="E13" i="11"/>
  <c r="V13" i="11" s="1"/>
  <c r="E12" i="11"/>
  <c r="V12" i="11" s="1"/>
  <c r="O13" i="11"/>
  <c r="N13" i="11"/>
  <c r="M13" i="11"/>
  <c r="L13" i="11"/>
  <c r="K13" i="11"/>
  <c r="I13" i="11"/>
  <c r="H13" i="11"/>
  <c r="G13" i="11"/>
  <c r="F13" i="11"/>
  <c r="O12" i="11"/>
  <c r="N12" i="11"/>
  <c r="M12" i="11"/>
  <c r="L12" i="11"/>
  <c r="K12" i="11"/>
  <c r="I12" i="11"/>
  <c r="H12" i="11"/>
  <c r="G12" i="11"/>
  <c r="F12" i="11"/>
  <c r="E10" i="11"/>
  <c r="V10" i="11" s="1"/>
  <c r="E9" i="11"/>
  <c r="V9" i="11" s="1"/>
  <c r="O10" i="11"/>
  <c r="N10" i="11"/>
  <c r="M10" i="11"/>
  <c r="L10" i="11"/>
  <c r="K10" i="11"/>
  <c r="I10" i="11"/>
  <c r="H10" i="11"/>
  <c r="G10" i="11"/>
  <c r="F10" i="11"/>
  <c r="O9" i="11"/>
  <c r="N9" i="11"/>
  <c r="M9" i="11"/>
  <c r="L9" i="11"/>
  <c r="K9" i="11"/>
  <c r="I9" i="11"/>
  <c r="H9" i="11"/>
  <c r="G9" i="11"/>
  <c r="F9" i="11"/>
  <c r="V8" i="11"/>
  <c r="W8" i="11"/>
  <c r="X8" i="11"/>
  <c r="Y8" i="11"/>
  <c r="Z8" i="11"/>
  <c r="AB8" i="11"/>
  <c r="AA8" i="11" s="1"/>
  <c r="AC8" i="11"/>
  <c r="AD8" i="11"/>
  <c r="AE8" i="11"/>
  <c r="AF8" i="11"/>
  <c r="V11" i="11"/>
  <c r="W11" i="11"/>
  <c r="X11" i="11"/>
  <c r="Y11" i="11"/>
  <c r="Z11" i="11"/>
  <c r="AB11" i="11"/>
  <c r="AA11" i="11" s="1"/>
  <c r="AC11" i="11"/>
  <c r="AD11" i="11"/>
  <c r="AE11" i="11"/>
  <c r="AF11" i="11"/>
  <c r="V14" i="11"/>
  <c r="W14" i="11"/>
  <c r="X14" i="11"/>
  <c r="Y14" i="11"/>
  <c r="Z14" i="11"/>
  <c r="AB14" i="11"/>
  <c r="AA14" i="11" s="1"/>
  <c r="AC14" i="11"/>
  <c r="AD14" i="11"/>
  <c r="AE14" i="11"/>
  <c r="AF14" i="11"/>
  <c r="V15" i="11"/>
  <c r="W15" i="11"/>
  <c r="X15" i="11"/>
  <c r="Y15" i="11"/>
  <c r="Z15" i="11"/>
  <c r="AB15" i="11"/>
  <c r="AA15" i="11" s="1"/>
  <c r="AC15" i="11"/>
  <c r="AD15" i="11"/>
  <c r="AE15" i="11"/>
  <c r="AF15" i="11"/>
  <c r="V18" i="11"/>
  <c r="W18" i="11"/>
  <c r="X18" i="11"/>
  <c r="Y18" i="11"/>
  <c r="Z18" i="11"/>
  <c r="AB18" i="11"/>
  <c r="AA18" i="11" s="1"/>
  <c r="AC18" i="11"/>
  <c r="AD18" i="11"/>
  <c r="AE18" i="11"/>
  <c r="AF18" i="11"/>
  <c r="V21" i="11"/>
  <c r="W21" i="11"/>
  <c r="X21" i="11"/>
  <c r="Y21" i="11"/>
  <c r="Z21" i="11"/>
  <c r="AB21" i="11"/>
  <c r="AA21" i="11" s="1"/>
  <c r="AC21" i="11"/>
  <c r="AD21" i="11"/>
  <c r="AE21" i="11"/>
  <c r="AF21" i="11"/>
  <c r="V24" i="11"/>
  <c r="W24" i="11"/>
  <c r="X24" i="11"/>
  <c r="Y24" i="11"/>
  <c r="Z24" i="11"/>
  <c r="AB24" i="11"/>
  <c r="AA24" i="11" s="1"/>
  <c r="AC24" i="11"/>
  <c r="AD24" i="11"/>
  <c r="AE24" i="11"/>
  <c r="AF24" i="11"/>
  <c r="V27" i="11"/>
  <c r="W27" i="11"/>
  <c r="X27" i="11"/>
  <c r="Y27" i="11"/>
  <c r="Z27" i="11"/>
  <c r="AB27" i="11"/>
  <c r="AA27" i="11" s="1"/>
  <c r="AC27" i="11"/>
  <c r="AD27" i="11"/>
  <c r="AE27" i="11"/>
  <c r="AF27" i="11"/>
  <c r="V30" i="11"/>
  <c r="W30" i="11"/>
  <c r="X30" i="11"/>
  <c r="Y30" i="11"/>
  <c r="Z30" i="11"/>
  <c r="AB30" i="11"/>
  <c r="AA30" i="11" s="1"/>
  <c r="AC30" i="11"/>
  <c r="AD30" i="11"/>
  <c r="AE30" i="11"/>
  <c r="AF30" i="11"/>
  <c r="V38" i="11"/>
  <c r="W38" i="11"/>
  <c r="X38" i="11"/>
  <c r="Y38" i="11"/>
  <c r="Z38" i="11"/>
  <c r="AB38" i="11"/>
  <c r="AA38" i="11" s="1"/>
  <c r="AC38" i="11"/>
  <c r="AD38" i="11"/>
  <c r="AE38" i="11"/>
  <c r="AF38" i="11"/>
  <c r="V39" i="11"/>
  <c r="W39" i="11"/>
  <c r="X39" i="11"/>
  <c r="Y39" i="11"/>
  <c r="Z39" i="11"/>
  <c r="AB39" i="11"/>
  <c r="AA39" i="11" s="1"/>
  <c r="AC39" i="11"/>
  <c r="AD39" i="11"/>
  <c r="AE39" i="11"/>
  <c r="AF39" i="11"/>
  <c r="V42" i="11"/>
  <c r="W42" i="11"/>
  <c r="X42" i="11"/>
  <c r="Y42" i="11"/>
  <c r="Z42" i="11"/>
  <c r="AB42" i="11"/>
  <c r="AA42" i="11" s="1"/>
  <c r="AC42" i="11"/>
  <c r="AD42" i="11"/>
  <c r="AE42" i="11"/>
  <c r="AF42" i="11"/>
  <c r="V43" i="11"/>
  <c r="W43" i="11"/>
  <c r="X43" i="11"/>
  <c r="Y43" i="11"/>
  <c r="Z43" i="11"/>
  <c r="AB43" i="11"/>
  <c r="AA43" i="11" s="1"/>
  <c r="AC43" i="11"/>
  <c r="AD43" i="11"/>
  <c r="AE43" i="11"/>
  <c r="AF43" i="11"/>
  <c r="V62" i="11"/>
  <c r="W62" i="11"/>
  <c r="X62" i="11"/>
  <c r="Y62" i="11"/>
  <c r="Z62" i="11"/>
  <c r="AB62" i="11"/>
  <c r="AA62" i="11" s="1"/>
  <c r="AC62" i="11"/>
  <c r="AD62" i="11"/>
  <c r="AE62" i="11"/>
  <c r="AF62" i="11"/>
  <c r="M335" i="10"/>
  <c r="N335" i="10"/>
  <c r="L335" i="10"/>
  <c r="K335" i="10"/>
  <c r="J335" i="10"/>
  <c r="I335" i="10"/>
  <c r="H335" i="10"/>
  <c r="G335" i="10"/>
  <c r="O28" i="9"/>
  <c r="M28" i="9"/>
  <c r="K28" i="9"/>
  <c r="O25" i="9"/>
  <c r="O22" i="9"/>
  <c r="K22" i="9"/>
  <c r="O19" i="9"/>
  <c r="N19" i="9"/>
  <c r="M19" i="9"/>
  <c r="L19" i="9"/>
  <c r="K19" i="9"/>
  <c r="I19" i="9"/>
  <c r="N16" i="9"/>
  <c r="L16" i="9"/>
  <c r="H25" i="9"/>
  <c r="H22" i="9"/>
  <c r="H19" i="9"/>
  <c r="G28" i="9"/>
  <c r="G25" i="9"/>
  <c r="G22" i="9"/>
  <c r="G19" i="9"/>
  <c r="G16" i="9"/>
  <c r="F25" i="9"/>
  <c r="F22" i="9"/>
  <c r="F19" i="9"/>
  <c r="F16" i="9"/>
  <c r="E28" i="9"/>
  <c r="E29" i="9" s="1"/>
  <c r="H377" i="10" s="1"/>
  <c r="E25" i="9"/>
  <c r="E26" i="9" s="1"/>
  <c r="H376" i="10" s="1"/>
  <c r="E22" i="9"/>
  <c r="E23" i="9" s="1"/>
  <c r="H375" i="10" s="1"/>
  <c r="E19" i="9"/>
  <c r="E20" i="9" s="1"/>
  <c r="H374" i="10" s="1"/>
  <c r="D28" i="9"/>
  <c r="D29" i="9" s="1"/>
  <c r="G377" i="10" s="1"/>
  <c r="D25" i="9"/>
  <c r="D26" i="9" s="1"/>
  <c r="G376" i="10" s="1"/>
  <c r="D22" i="9"/>
  <c r="D23" i="9" s="1"/>
  <c r="G375" i="10" s="1"/>
  <c r="D19" i="9"/>
  <c r="D20" i="9" s="1"/>
  <c r="G374" i="10" s="1"/>
  <c r="D16" i="9"/>
  <c r="D17" i="9" s="1"/>
  <c r="G373" i="10" s="1"/>
  <c r="D373" i="10"/>
  <c r="D374" i="10"/>
  <c r="D375" i="10"/>
  <c r="D376" i="10"/>
  <c r="D377" i="10"/>
  <c r="D378" i="10"/>
  <c r="D371" i="10"/>
  <c r="D372" i="10"/>
  <c r="B80" i="10"/>
  <c r="A102" i="2" s="1"/>
  <c r="B187" i="10"/>
  <c r="B186" i="10"/>
  <c r="B189" i="10"/>
  <c r="B188" i="10"/>
  <c r="B159" i="10"/>
  <c r="B286" i="10"/>
  <c r="B282" i="10"/>
  <c r="B280" i="10"/>
  <c r="B279" i="10"/>
  <c r="B278" i="10"/>
  <c r="B277" i="10"/>
  <c r="B276" i="10"/>
  <c r="B275" i="10"/>
  <c r="B274" i="10"/>
  <c r="B273" i="10"/>
  <c r="B271" i="10"/>
  <c r="B269" i="10"/>
  <c r="B268" i="10"/>
  <c r="B267" i="10"/>
  <c r="B265" i="10"/>
  <c r="B264" i="10"/>
  <c r="B263" i="10"/>
  <c r="B261" i="10"/>
  <c r="B260" i="10"/>
  <c r="B259" i="10"/>
  <c r="B257" i="10"/>
  <c r="B256" i="10"/>
  <c r="B255" i="10"/>
  <c r="B254" i="10"/>
  <c r="B253" i="10"/>
  <c r="B252" i="10"/>
  <c r="B250" i="10"/>
  <c r="B249" i="10"/>
  <c r="B247" i="10"/>
  <c r="B246" i="10"/>
  <c r="B245" i="10"/>
  <c r="B240" i="10"/>
  <c r="B239" i="10"/>
  <c r="B238" i="10"/>
  <c r="B237" i="10"/>
  <c r="B236" i="10"/>
  <c r="B235" i="10"/>
  <c r="B234" i="10"/>
  <c r="B233" i="10"/>
  <c r="B232" i="10"/>
  <c r="B231" i="10"/>
  <c r="B230" i="10"/>
  <c r="B229" i="10"/>
  <c r="B228" i="10"/>
  <c r="B224" i="10"/>
  <c r="B223" i="10"/>
  <c r="B222" i="10"/>
  <c r="B220" i="10"/>
  <c r="B218" i="10"/>
  <c r="B217" i="10"/>
  <c r="B216" i="10"/>
  <c r="B215" i="10"/>
  <c r="B214" i="10"/>
  <c r="B213" i="10"/>
  <c r="B212" i="10"/>
  <c r="B211" i="10"/>
  <c r="B210" i="10"/>
  <c r="B209" i="10"/>
  <c r="B208" i="10"/>
  <c r="B207" i="10"/>
  <c r="B206" i="10"/>
  <c r="B205" i="10"/>
  <c r="B204" i="10"/>
  <c r="B203" i="10"/>
  <c r="B202" i="10"/>
  <c r="B201" i="10"/>
  <c r="B200" i="10"/>
  <c r="B199" i="10"/>
  <c r="B198" i="10"/>
  <c r="B197" i="10"/>
  <c r="B196" i="10"/>
  <c r="B195" i="10"/>
  <c r="B194" i="10"/>
  <c r="B193" i="10"/>
  <c r="B192" i="10"/>
  <c r="B184" i="10"/>
  <c r="B180" i="10"/>
  <c r="B179" i="10"/>
  <c r="B177" i="10"/>
  <c r="B174" i="10"/>
  <c r="B173" i="10"/>
  <c r="B172" i="10"/>
  <c r="B171" i="10"/>
  <c r="B170" i="10"/>
  <c r="B161" i="10"/>
  <c r="B160" i="10"/>
  <c r="B157" i="10"/>
  <c r="B156" i="10"/>
  <c r="B155" i="10"/>
  <c r="B154" i="10"/>
  <c r="B153" i="10"/>
  <c r="B152" i="10"/>
  <c r="B151" i="10"/>
  <c r="B150" i="10"/>
  <c r="B149" i="10"/>
  <c r="B148" i="10"/>
  <c r="B145" i="10"/>
  <c r="B144" i="10"/>
  <c r="B143" i="10"/>
  <c r="B142" i="10"/>
  <c r="B141" i="10"/>
  <c r="B140" i="10"/>
  <c r="B137" i="10"/>
  <c r="B133" i="10"/>
  <c r="B132" i="10"/>
  <c r="B127" i="10"/>
  <c r="B126" i="10"/>
  <c r="B125" i="10"/>
  <c r="B124" i="10"/>
  <c r="B123" i="10"/>
  <c r="B122" i="10"/>
  <c r="B121" i="10"/>
  <c r="B120" i="10"/>
  <c r="B118" i="10"/>
  <c r="B117" i="10"/>
  <c r="B116" i="10"/>
  <c r="B115" i="10"/>
  <c r="B114" i="10"/>
  <c r="B113" i="10"/>
  <c r="B112" i="10"/>
  <c r="B111" i="10"/>
  <c r="B110" i="10"/>
  <c r="B105" i="10"/>
  <c r="B104" i="10"/>
  <c r="B103" i="10"/>
  <c r="B102" i="10"/>
  <c r="B101" i="10"/>
  <c r="B100" i="10"/>
  <c r="B98" i="10"/>
  <c r="B97" i="10"/>
  <c r="B95" i="10"/>
  <c r="B92" i="10"/>
  <c r="B91" i="10"/>
  <c r="B90" i="10"/>
  <c r="B89" i="10"/>
  <c r="B86" i="10"/>
  <c r="B85" i="10"/>
  <c r="B84" i="10"/>
  <c r="B83" i="10"/>
  <c r="B81" i="10"/>
  <c r="B67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37" i="10"/>
  <c r="B36" i="10"/>
  <c r="B35" i="10"/>
  <c r="B34" i="10"/>
  <c r="B33" i="10"/>
  <c r="B32" i="10"/>
  <c r="B30" i="10"/>
  <c r="B29" i="10"/>
  <c r="B28" i="10"/>
  <c r="B24" i="10"/>
  <c r="B21" i="10"/>
  <c r="B20" i="10"/>
  <c r="B19" i="10"/>
  <c r="B18" i="10"/>
  <c r="B17" i="10"/>
  <c r="B16" i="10"/>
  <c r="B12" i="10"/>
  <c r="B11" i="10"/>
  <c r="B10" i="10"/>
  <c r="B8" i="10"/>
  <c r="B7" i="10"/>
  <c r="Q29" i="9"/>
  <c r="O29" i="9" s="1"/>
  <c r="G29" i="9"/>
  <c r="J377" i="10" s="1"/>
  <c r="M377" i="10" s="1"/>
  <c r="P29" i="9"/>
  <c r="N29" i="9" s="1"/>
  <c r="F29" i="9"/>
  <c r="I29" i="9" s="1"/>
  <c r="L377" i="10" s="1"/>
  <c r="Q26" i="9"/>
  <c r="O26" i="9" s="1"/>
  <c r="G26" i="9"/>
  <c r="J376" i="10" s="1"/>
  <c r="M376" i="10" s="1"/>
  <c r="P26" i="9"/>
  <c r="N26" i="9" s="1"/>
  <c r="F26" i="9"/>
  <c r="I26" i="9" s="1"/>
  <c r="L376" i="10" s="1"/>
  <c r="Q23" i="9"/>
  <c r="O23" i="9" s="1"/>
  <c r="G23" i="9"/>
  <c r="J375" i="10" s="1"/>
  <c r="M375" i="10" s="1"/>
  <c r="P23" i="9"/>
  <c r="N23" i="9" s="1"/>
  <c r="F23" i="9"/>
  <c r="I23" i="9" s="1"/>
  <c r="L375" i="10" s="1"/>
  <c r="Q20" i="9"/>
  <c r="O20" i="9" s="1"/>
  <c r="G20" i="9"/>
  <c r="J374" i="10" s="1"/>
  <c r="M374" i="10" s="1"/>
  <c r="P20" i="9"/>
  <c r="N20" i="9" s="1"/>
  <c r="F20" i="9"/>
  <c r="I20" i="9" s="1"/>
  <c r="L374" i="10" s="1"/>
  <c r="L273" i="10"/>
  <c r="J273" i="10"/>
  <c r="Q63" i="10"/>
  <c r="Q61" i="10"/>
  <c r="Q59" i="10"/>
  <c r="Q57" i="10"/>
  <c r="Q55" i="10"/>
  <c r="Q36" i="10"/>
  <c r="AB8" i="10"/>
  <c r="J101" i="2"/>
  <c r="N70" i="2"/>
  <c r="N71" i="2"/>
  <c r="P71" i="2"/>
  <c r="O71" i="2"/>
  <c r="P70" i="2"/>
  <c r="O70" i="2"/>
  <c r="P67" i="2"/>
  <c r="P65" i="2"/>
  <c r="O65" i="2"/>
  <c r="I1" i="9"/>
  <c r="I2" i="9"/>
  <c r="E176" i="1"/>
  <c r="E148" i="1"/>
  <c r="E120" i="1"/>
  <c r="E92" i="1"/>
  <c r="E64" i="1"/>
  <c r="E36" i="1"/>
  <c r="M201" i="1"/>
  <c r="M191" i="1"/>
  <c r="M192" i="1"/>
  <c r="M193" i="1"/>
  <c r="M194" i="1"/>
  <c r="M195" i="1"/>
  <c r="M196" i="1"/>
  <c r="M197" i="1"/>
  <c r="M198" i="1"/>
  <c r="M199" i="1"/>
  <c r="M200" i="1"/>
  <c r="M17" i="1"/>
  <c r="Q17" i="1" s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81" i="1"/>
  <c r="M182" i="1"/>
  <c r="M183" i="1"/>
  <c r="M184" i="1"/>
  <c r="M185" i="1"/>
  <c r="M186" i="1"/>
  <c r="M187" i="1"/>
  <c r="M188" i="1"/>
  <c r="M189" i="1"/>
  <c r="M190" i="1"/>
  <c r="Q201" i="1"/>
  <c r="L201" i="1"/>
  <c r="L191" i="1"/>
  <c r="L192" i="1"/>
  <c r="L193" i="1"/>
  <c r="L194" i="1"/>
  <c r="L195" i="1"/>
  <c r="L196" i="1"/>
  <c r="L197" i="1"/>
  <c r="L198" i="1"/>
  <c r="L199" i="1"/>
  <c r="L200" i="1"/>
  <c r="L17" i="1"/>
  <c r="P17" i="1" s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81" i="1"/>
  <c r="L182" i="1"/>
  <c r="L183" i="1"/>
  <c r="L184" i="1"/>
  <c r="L185" i="1"/>
  <c r="L186" i="1"/>
  <c r="L187" i="1"/>
  <c r="L188" i="1"/>
  <c r="L189" i="1"/>
  <c r="L190" i="1"/>
  <c r="P201" i="1"/>
  <c r="Q200" i="1"/>
  <c r="P200" i="1"/>
  <c r="Q199" i="1"/>
  <c r="P199" i="1"/>
  <c r="Q198" i="1"/>
  <c r="P198" i="1"/>
  <c r="Q197" i="1"/>
  <c r="P197" i="1"/>
  <c r="Q196" i="1"/>
  <c r="P196" i="1"/>
  <c r="Q195" i="1"/>
  <c r="P195" i="1"/>
  <c r="Q194" i="1"/>
  <c r="P194" i="1"/>
  <c r="Q193" i="1"/>
  <c r="P193" i="1"/>
  <c r="Q192" i="1"/>
  <c r="P192" i="1"/>
  <c r="Q191" i="1"/>
  <c r="P191" i="1"/>
  <c r="Q190" i="1"/>
  <c r="P190" i="1"/>
  <c r="Q189" i="1"/>
  <c r="P189" i="1"/>
  <c r="Q188" i="1"/>
  <c r="P188" i="1"/>
  <c r="Q187" i="1"/>
  <c r="P187" i="1"/>
  <c r="Q186" i="1"/>
  <c r="P186" i="1"/>
  <c r="Q185" i="1"/>
  <c r="P185" i="1"/>
  <c r="Q184" i="1"/>
  <c r="P184" i="1"/>
  <c r="Q183" i="1"/>
  <c r="P183" i="1"/>
  <c r="Q182" i="1"/>
  <c r="P182" i="1"/>
  <c r="P181" i="1"/>
  <c r="Q181" i="1"/>
  <c r="Q173" i="1"/>
  <c r="P173" i="1"/>
  <c r="Q172" i="1"/>
  <c r="P172" i="1"/>
  <c r="Q171" i="1"/>
  <c r="P171" i="1"/>
  <c r="Q170" i="1"/>
  <c r="P170" i="1"/>
  <c r="Q169" i="1"/>
  <c r="P169" i="1"/>
  <c r="Q168" i="1"/>
  <c r="P168" i="1"/>
  <c r="Q167" i="1"/>
  <c r="P167" i="1"/>
  <c r="Q166" i="1"/>
  <c r="P166" i="1"/>
  <c r="Q165" i="1"/>
  <c r="P165" i="1"/>
  <c r="Q164" i="1"/>
  <c r="P164" i="1"/>
  <c r="Q163" i="1"/>
  <c r="P163" i="1"/>
  <c r="Q162" i="1"/>
  <c r="P162" i="1"/>
  <c r="Q161" i="1"/>
  <c r="P161" i="1"/>
  <c r="Q160" i="1"/>
  <c r="P160" i="1"/>
  <c r="Q159" i="1"/>
  <c r="P159" i="1"/>
  <c r="Q158" i="1"/>
  <c r="P158" i="1"/>
  <c r="Q157" i="1"/>
  <c r="P157" i="1"/>
  <c r="Q156" i="1"/>
  <c r="P156" i="1"/>
  <c r="Q155" i="1"/>
  <c r="P155" i="1"/>
  <c r="Q154" i="1"/>
  <c r="P154" i="1"/>
  <c r="Q153" i="1"/>
  <c r="P153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N17" i="1"/>
  <c r="N34" i="1" s="1"/>
  <c r="N40" i="1" s="1"/>
  <c r="N62" i="1" s="1"/>
  <c r="N68" i="1" s="1"/>
  <c r="N90" i="1" s="1"/>
  <c r="N96" i="1" s="1"/>
  <c r="N118" i="1" s="1"/>
  <c r="N124" i="1" s="1"/>
  <c r="N146" i="1" s="1"/>
  <c r="N152" i="1" s="1"/>
  <c r="N174" i="1" s="1"/>
  <c r="N180" i="1" s="1"/>
  <c r="N202" i="1" s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S201" i="1"/>
  <c r="S200" i="1"/>
  <c r="S199" i="1"/>
  <c r="S198" i="1"/>
  <c r="S197" i="1"/>
  <c r="S196" i="1"/>
  <c r="S195" i="1"/>
  <c r="S194" i="1"/>
  <c r="S193" i="1"/>
  <c r="S192" i="1"/>
  <c r="S191" i="1"/>
  <c r="S190" i="1"/>
  <c r="S189" i="1"/>
  <c r="S188" i="1"/>
  <c r="S187" i="1"/>
  <c r="S186" i="1"/>
  <c r="S185" i="1"/>
  <c r="S184" i="1"/>
  <c r="S183" i="1"/>
  <c r="S182" i="1"/>
  <c r="S181" i="1"/>
  <c r="P176" i="1"/>
  <c r="I176" i="1"/>
  <c r="S173" i="1"/>
  <c r="S172" i="1"/>
  <c r="S171" i="1"/>
  <c r="S170" i="1"/>
  <c r="S169" i="1"/>
  <c r="S168" i="1"/>
  <c r="S167" i="1"/>
  <c r="S166" i="1"/>
  <c r="S165" i="1"/>
  <c r="S164" i="1"/>
  <c r="S163" i="1"/>
  <c r="S162" i="1"/>
  <c r="S161" i="1"/>
  <c r="S160" i="1"/>
  <c r="S159" i="1"/>
  <c r="S158" i="1"/>
  <c r="S157" i="1"/>
  <c r="S156" i="1"/>
  <c r="S155" i="1"/>
  <c r="S154" i="1"/>
  <c r="S153" i="1"/>
  <c r="P148" i="1"/>
  <c r="I148" i="1"/>
  <c r="S145" i="1"/>
  <c r="S144" i="1"/>
  <c r="S143" i="1"/>
  <c r="S142" i="1"/>
  <c r="S141" i="1"/>
  <c r="S140" i="1"/>
  <c r="S139" i="1"/>
  <c r="S138" i="1"/>
  <c r="S137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P120" i="1"/>
  <c r="P92" i="1"/>
  <c r="P64" i="1"/>
  <c r="P36" i="1"/>
  <c r="I120" i="1"/>
  <c r="I92" i="1"/>
  <c r="I64" i="1"/>
  <c r="I36" i="1"/>
  <c r="P126" i="1"/>
  <c r="Q126" i="1"/>
  <c r="P127" i="1"/>
  <c r="Q127" i="1"/>
  <c r="P128" i="1"/>
  <c r="Q128" i="1"/>
  <c r="P129" i="1"/>
  <c r="Q129" i="1"/>
  <c r="P130" i="1"/>
  <c r="Q130" i="1"/>
  <c r="P131" i="1"/>
  <c r="Q131" i="1"/>
  <c r="P132" i="1"/>
  <c r="Q132" i="1"/>
  <c r="P133" i="1"/>
  <c r="Q133" i="1"/>
  <c r="P134" i="1"/>
  <c r="Q134" i="1"/>
  <c r="P135" i="1"/>
  <c r="Q135" i="1"/>
  <c r="P136" i="1"/>
  <c r="Q136" i="1"/>
  <c r="P137" i="1"/>
  <c r="Q137" i="1"/>
  <c r="P138" i="1"/>
  <c r="Q138" i="1"/>
  <c r="P139" i="1"/>
  <c r="Q139" i="1"/>
  <c r="P140" i="1"/>
  <c r="Q140" i="1"/>
  <c r="P141" i="1"/>
  <c r="Q141" i="1"/>
  <c r="P142" i="1"/>
  <c r="Q142" i="1"/>
  <c r="P143" i="1"/>
  <c r="Q143" i="1"/>
  <c r="P144" i="1"/>
  <c r="Q144" i="1"/>
  <c r="P145" i="1"/>
  <c r="Q145" i="1"/>
  <c r="P125" i="1"/>
  <c r="Q125" i="1"/>
  <c r="P117" i="1"/>
  <c r="Q117" i="1"/>
  <c r="P98" i="1"/>
  <c r="Q98" i="1"/>
  <c r="P99" i="1"/>
  <c r="Q99" i="1"/>
  <c r="P100" i="1"/>
  <c r="Q100" i="1"/>
  <c r="P101" i="1"/>
  <c r="Q101" i="1"/>
  <c r="P102" i="1"/>
  <c r="Q102" i="1"/>
  <c r="P103" i="1"/>
  <c r="Q103" i="1"/>
  <c r="P104" i="1"/>
  <c r="Q104" i="1"/>
  <c r="P105" i="1"/>
  <c r="Q105" i="1"/>
  <c r="P106" i="1"/>
  <c r="Q106" i="1"/>
  <c r="P107" i="1"/>
  <c r="Q107" i="1"/>
  <c r="P108" i="1"/>
  <c r="Q108" i="1"/>
  <c r="P109" i="1"/>
  <c r="Q109" i="1"/>
  <c r="P110" i="1"/>
  <c r="Q110" i="1"/>
  <c r="P111" i="1"/>
  <c r="Q111" i="1"/>
  <c r="P112" i="1"/>
  <c r="Q112" i="1"/>
  <c r="P113" i="1"/>
  <c r="Q113" i="1"/>
  <c r="P114" i="1"/>
  <c r="Q114" i="1"/>
  <c r="P115" i="1"/>
  <c r="Q115" i="1"/>
  <c r="P116" i="1"/>
  <c r="Q116" i="1"/>
  <c r="P97" i="1"/>
  <c r="Q97" i="1"/>
  <c r="P70" i="1"/>
  <c r="Q70" i="1"/>
  <c r="P71" i="1"/>
  <c r="Q71" i="1"/>
  <c r="P72" i="1"/>
  <c r="Q72" i="1"/>
  <c r="P73" i="1"/>
  <c r="Q73" i="1"/>
  <c r="P74" i="1"/>
  <c r="Q74" i="1"/>
  <c r="P75" i="1"/>
  <c r="Q75" i="1"/>
  <c r="P76" i="1"/>
  <c r="Q76" i="1"/>
  <c r="P77" i="1"/>
  <c r="Q77" i="1"/>
  <c r="P78" i="1"/>
  <c r="Q78" i="1"/>
  <c r="P79" i="1"/>
  <c r="Q79" i="1"/>
  <c r="P80" i="1"/>
  <c r="Q80" i="1"/>
  <c r="P81" i="1"/>
  <c r="Q81" i="1"/>
  <c r="P82" i="1"/>
  <c r="Q82" i="1"/>
  <c r="P83" i="1"/>
  <c r="Q83" i="1"/>
  <c r="P84" i="1"/>
  <c r="Q84" i="1"/>
  <c r="P85" i="1"/>
  <c r="Q85" i="1"/>
  <c r="P86" i="1"/>
  <c r="Q86" i="1"/>
  <c r="P87" i="1"/>
  <c r="Q87" i="1"/>
  <c r="P88" i="1"/>
  <c r="Q88" i="1"/>
  <c r="P89" i="1"/>
  <c r="Q89" i="1"/>
  <c r="Q69" i="1"/>
  <c r="P69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BB225" i="2"/>
  <c r="BB235" i="2"/>
  <c r="BB237" i="2"/>
  <c r="BB238" i="2"/>
  <c r="BB239" i="2"/>
  <c r="BB240" i="2"/>
  <c r="BB247" i="2"/>
  <c r="BB250" i="2"/>
  <c r="BB251" i="2"/>
  <c r="AY239" i="2"/>
  <c r="AY235" i="2"/>
  <c r="AY237" i="2"/>
  <c r="AY238" i="2"/>
  <c r="AY240" i="2"/>
  <c r="AY225" i="2"/>
  <c r="AY247" i="2"/>
  <c r="AY248" i="2"/>
  <c r="AY249" i="2"/>
  <c r="AY250" i="2"/>
  <c r="AY251" i="2"/>
  <c r="AV225" i="2"/>
  <c r="AV235" i="2"/>
  <c r="AV236" i="2"/>
  <c r="AV238" i="2"/>
  <c r="AV239" i="2"/>
  <c r="AV240" i="2"/>
  <c r="AV247" i="2"/>
  <c r="AV249" i="2"/>
  <c r="AV251" i="2"/>
  <c r="AS235" i="2"/>
  <c r="AS236" i="2"/>
  <c r="AS238" i="2"/>
  <c r="AS239" i="2"/>
  <c r="AS240" i="2"/>
  <c r="AS225" i="2"/>
  <c r="AS247" i="2"/>
  <c r="AS248" i="2"/>
  <c r="AS249" i="2"/>
  <c r="AS250" i="2"/>
  <c r="AS251" i="2"/>
  <c r="BH225" i="2"/>
  <c r="BH235" i="2"/>
  <c r="BH236" i="2"/>
  <c r="BH237" i="2"/>
  <c r="BH238" i="2"/>
  <c r="BH239" i="2"/>
  <c r="BH240" i="2"/>
  <c r="BH247" i="2"/>
  <c r="BH248" i="2"/>
  <c r="BH249" i="2"/>
  <c r="BH250" i="2"/>
  <c r="BH251" i="2"/>
  <c r="BE237" i="2"/>
  <c r="BE225" i="2"/>
  <c r="BE235" i="2"/>
  <c r="BE236" i="2"/>
  <c r="BE238" i="2"/>
  <c r="BE239" i="2"/>
  <c r="BE240" i="2"/>
  <c r="BE247" i="2"/>
  <c r="BE248" i="2"/>
  <c r="BE249" i="2"/>
  <c r="BE250" i="2"/>
  <c r="BE251" i="2"/>
  <c r="B265" i="2"/>
  <c r="B264" i="2"/>
  <c r="B263" i="2"/>
  <c r="B260" i="2"/>
  <c r="B259" i="2"/>
  <c r="B258" i="2"/>
  <c r="C176" i="2"/>
  <c r="C177" i="2"/>
  <c r="R53" i="2"/>
  <c r="R52" i="2"/>
  <c r="F251" i="2"/>
  <c r="Q251" i="2" s="1"/>
  <c r="F247" i="2"/>
  <c r="Q247" i="2" s="1"/>
  <c r="P249" i="2"/>
  <c r="P247" i="2"/>
  <c r="P248" i="2"/>
  <c r="P250" i="2"/>
  <c r="P251" i="2"/>
  <c r="O249" i="2"/>
  <c r="O247" i="2"/>
  <c r="O248" i="2"/>
  <c r="O250" i="2"/>
  <c r="O251" i="2"/>
  <c r="N249" i="2"/>
  <c r="BB249" i="2" s="1"/>
  <c r="N247" i="2"/>
  <c r="N248" i="2"/>
  <c r="BB248" i="2" s="1"/>
  <c r="N250" i="2"/>
  <c r="N251" i="2"/>
  <c r="AV250" i="2"/>
  <c r="M247" i="2"/>
  <c r="M248" i="2"/>
  <c r="M250" i="2"/>
  <c r="AU250" i="2"/>
  <c r="M251" i="2"/>
  <c r="L249" i="2"/>
  <c r="L247" i="2"/>
  <c r="L248" i="2"/>
  <c r="L250" i="2"/>
  <c r="L251" i="2"/>
  <c r="J252" i="2"/>
  <c r="AD225" i="2"/>
  <c r="AD235" i="2"/>
  <c r="AD236" i="2"/>
  <c r="AD238" i="2"/>
  <c r="AD239" i="2"/>
  <c r="AD240" i="2"/>
  <c r="AD249" i="2"/>
  <c r="AD247" i="2"/>
  <c r="AD248" i="2"/>
  <c r="AD250" i="2"/>
  <c r="AD251" i="2"/>
  <c r="AJ225" i="2"/>
  <c r="AJ235" i="2"/>
  <c r="AJ237" i="2"/>
  <c r="AJ238" i="2"/>
  <c r="AJ239" i="2"/>
  <c r="AJ240" i="2"/>
  <c r="AJ247" i="2"/>
  <c r="AJ248" i="2"/>
  <c r="AJ249" i="2"/>
  <c r="AJ250" i="2"/>
  <c r="AJ251" i="2"/>
  <c r="AP225" i="2"/>
  <c r="AP235" i="2"/>
  <c r="AP236" i="2"/>
  <c r="AP237" i="2"/>
  <c r="AP238" i="2"/>
  <c r="AP239" i="2"/>
  <c r="AP240" i="2"/>
  <c r="AP249" i="2"/>
  <c r="AP247" i="2"/>
  <c r="AP248" i="2"/>
  <c r="AP250" i="2"/>
  <c r="AP251" i="2"/>
  <c r="BG225" i="2"/>
  <c r="BG235" i="2"/>
  <c r="BG236" i="2"/>
  <c r="BG237" i="2"/>
  <c r="BG238" i="2"/>
  <c r="BG239" i="2"/>
  <c r="BG240" i="2"/>
  <c r="BG249" i="2"/>
  <c r="BG247" i="2"/>
  <c r="BG248" i="2"/>
  <c r="BG250" i="2"/>
  <c r="BG251" i="2"/>
  <c r="H198" i="2"/>
  <c r="BF196" i="2"/>
  <c r="BJ238" i="2"/>
  <c r="BI238" i="2"/>
  <c r="BF238" i="2"/>
  <c r="BD238" i="2"/>
  <c r="BC238" i="2"/>
  <c r="BA238" i="2"/>
  <c r="AZ238" i="2"/>
  <c r="AX238" i="2"/>
  <c r="AW238" i="2"/>
  <c r="AU238" i="2"/>
  <c r="AT238" i="2"/>
  <c r="AR238" i="2"/>
  <c r="AQ238" i="2"/>
  <c r="AO238" i="2"/>
  <c r="AN238" i="2"/>
  <c r="AM238" i="2"/>
  <c r="AL238" i="2"/>
  <c r="AK238" i="2"/>
  <c r="AI238" i="2"/>
  <c r="AH238" i="2"/>
  <c r="AG238" i="2"/>
  <c r="AF238" i="2"/>
  <c r="AE238" i="2"/>
  <c r="AC238" i="2"/>
  <c r="AB238" i="2"/>
  <c r="AA238" i="2"/>
  <c r="R44" i="2"/>
  <c r="Q130" i="2"/>
  <c r="Q125" i="2"/>
  <c r="P130" i="2"/>
  <c r="P125" i="2"/>
  <c r="B240" i="2"/>
  <c r="B239" i="2"/>
  <c r="B238" i="2"/>
  <c r="BJ239" i="2"/>
  <c r="BI239" i="2"/>
  <c r="BF239" i="2"/>
  <c r="BD239" i="2"/>
  <c r="BC239" i="2"/>
  <c r="BA239" i="2"/>
  <c r="AZ239" i="2"/>
  <c r="AX239" i="2"/>
  <c r="AW239" i="2"/>
  <c r="AU239" i="2"/>
  <c r="AT239" i="2"/>
  <c r="AR239" i="2"/>
  <c r="AQ239" i="2"/>
  <c r="AO239" i="2"/>
  <c r="AN239" i="2"/>
  <c r="AM239" i="2"/>
  <c r="AL239" i="2"/>
  <c r="AK239" i="2"/>
  <c r="AI239" i="2"/>
  <c r="AH239" i="2"/>
  <c r="AG239" i="2"/>
  <c r="AF239" i="2"/>
  <c r="AE239" i="2"/>
  <c r="AC239" i="2"/>
  <c r="AB239" i="2"/>
  <c r="AA239" i="2"/>
  <c r="BF235" i="2"/>
  <c r="BF236" i="2"/>
  <c r="BF225" i="2"/>
  <c r="BF237" i="2"/>
  <c r="BF240" i="2"/>
  <c r="BF247" i="2"/>
  <c r="BF248" i="2"/>
  <c r="BF249" i="2"/>
  <c r="BF250" i="2"/>
  <c r="BF251" i="2"/>
  <c r="AZ235" i="2"/>
  <c r="AZ225" i="2"/>
  <c r="AZ237" i="2"/>
  <c r="AZ240" i="2"/>
  <c r="AZ247" i="2"/>
  <c r="AZ248" i="2"/>
  <c r="AZ249" i="2"/>
  <c r="AZ250" i="2"/>
  <c r="AZ251" i="2"/>
  <c r="BA235" i="2"/>
  <c r="BA225" i="2"/>
  <c r="BA237" i="2"/>
  <c r="BA240" i="2"/>
  <c r="BA247" i="2"/>
  <c r="BA248" i="2"/>
  <c r="BA250" i="2"/>
  <c r="BA251" i="2"/>
  <c r="BI235" i="2"/>
  <c r="BI236" i="2"/>
  <c r="BI225" i="2"/>
  <c r="BI237" i="2"/>
  <c r="BI240" i="2"/>
  <c r="BI247" i="2"/>
  <c r="BI248" i="2"/>
  <c r="BI249" i="2"/>
  <c r="BI250" i="2"/>
  <c r="BI251" i="2"/>
  <c r="BC235" i="2"/>
  <c r="BC225" i="2"/>
  <c r="BC237" i="2"/>
  <c r="BC240" i="2"/>
  <c r="BC247" i="2"/>
  <c r="BC248" i="2"/>
  <c r="BC249" i="2"/>
  <c r="BC250" i="2"/>
  <c r="BC251" i="2"/>
  <c r="BJ235" i="2"/>
  <c r="BJ236" i="2"/>
  <c r="BJ225" i="2"/>
  <c r="BJ237" i="2"/>
  <c r="BJ240" i="2"/>
  <c r="BJ247" i="2"/>
  <c r="BJ248" i="2"/>
  <c r="BJ249" i="2"/>
  <c r="BJ250" i="2"/>
  <c r="BJ251" i="2"/>
  <c r="BD235" i="2"/>
  <c r="BD225" i="2"/>
  <c r="BD237" i="2"/>
  <c r="BD240" i="2"/>
  <c r="BD247" i="2"/>
  <c r="BD248" i="2"/>
  <c r="BD249" i="2"/>
  <c r="BD250" i="2"/>
  <c r="BD251" i="2"/>
  <c r="AX235" i="2"/>
  <c r="AX236" i="2"/>
  <c r="AX225" i="2"/>
  <c r="AX240" i="2"/>
  <c r="AX247" i="2"/>
  <c r="AX248" i="2"/>
  <c r="AX249" i="2"/>
  <c r="AX250" i="2"/>
  <c r="AX251" i="2"/>
  <c r="AW235" i="2"/>
  <c r="AW236" i="2"/>
  <c r="AW225" i="2"/>
  <c r="AW240" i="2"/>
  <c r="AW247" i="2"/>
  <c r="AW248" i="2"/>
  <c r="AW249" i="2"/>
  <c r="AW250" i="2"/>
  <c r="AW251" i="2"/>
  <c r="AU235" i="2"/>
  <c r="AU236" i="2"/>
  <c r="AU225" i="2"/>
  <c r="AU240" i="2"/>
  <c r="AU247" i="2"/>
  <c r="AU248" i="2"/>
  <c r="AU249" i="2"/>
  <c r="AU251" i="2"/>
  <c r="AT235" i="2"/>
  <c r="AT236" i="2"/>
  <c r="AT225" i="2"/>
  <c r="AT240" i="2"/>
  <c r="AT247" i="2"/>
  <c r="AT248" i="2"/>
  <c r="AT249" i="2"/>
  <c r="AT250" i="2"/>
  <c r="AT251" i="2"/>
  <c r="G265" i="2"/>
  <c r="H265" i="2"/>
  <c r="I265" i="2"/>
  <c r="J265" i="2"/>
  <c r="K265" i="2"/>
  <c r="K260" i="2"/>
  <c r="AL225" i="2"/>
  <c r="AL235" i="2"/>
  <c r="AL237" i="2"/>
  <c r="AL240" i="2"/>
  <c r="AL247" i="2"/>
  <c r="AL248" i="2"/>
  <c r="AL249" i="2"/>
  <c r="AL250" i="2"/>
  <c r="AL251" i="2"/>
  <c r="AF225" i="2"/>
  <c r="AF235" i="2"/>
  <c r="AF236" i="2"/>
  <c r="AF240" i="2"/>
  <c r="AF247" i="2"/>
  <c r="AF248" i="2"/>
  <c r="AF249" i="2"/>
  <c r="AF250" i="2"/>
  <c r="AF251" i="2"/>
  <c r="J260" i="2"/>
  <c r="AK225" i="2"/>
  <c r="AK235" i="2"/>
  <c r="AK237" i="2"/>
  <c r="AK240" i="2"/>
  <c r="AK247" i="2"/>
  <c r="AK248" i="2"/>
  <c r="AK249" i="2"/>
  <c r="AK250" i="2"/>
  <c r="AK251" i="2"/>
  <c r="AE225" i="2"/>
  <c r="AE235" i="2"/>
  <c r="AE236" i="2"/>
  <c r="AE240" i="2"/>
  <c r="AE247" i="2"/>
  <c r="AE248" i="2"/>
  <c r="AE249" i="2"/>
  <c r="AE250" i="2"/>
  <c r="AE251" i="2"/>
  <c r="I260" i="2"/>
  <c r="AI225" i="2"/>
  <c r="AI235" i="2"/>
  <c r="AI237" i="2"/>
  <c r="AI240" i="2"/>
  <c r="AI247" i="2"/>
  <c r="AI248" i="2"/>
  <c r="AI249" i="2"/>
  <c r="AI250" i="2"/>
  <c r="AI251" i="2"/>
  <c r="AC225" i="2"/>
  <c r="AC235" i="2"/>
  <c r="AC236" i="2"/>
  <c r="AC240" i="2"/>
  <c r="AC247" i="2"/>
  <c r="AC248" i="2"/>
  <c r="AC249" i="2"/>
  <c r="AC250" i="2"/>
  <c r="AC251" i="2"/>
  <c r="H260" i="2"/>
  <c r="G260" i="2"/>
  <c r="AH225" i="2"/>
  <c r="AH235" i="2"/>
  <c r="AH237" i="2"/>
  <c r="AH240" i="2"/>
  <c r="AH247" i="2"/>
  <c r="AH248" i="2"/>
  <c r="AH249" i="2"/>
  <c r="AH250" i="2"/>
  <c r="AH251" i="2"/>
  <c r="AB225" i="2"/>
  <c r="AB235" i="2"/>
  <c r="AB236" i="2"/>
  <c r="AB240" i="2"/>
  <c r="AB247" i="2"/>
  <c r="AB248" i="2"/>
  <c r="AB249" i="2"/>
  <c r="AB250" i="2"/>
  <c r="AB251" i="2"/>
  <c r="AA235" i="2"/>
  <c r="AA236" i="2"/>
  <c r="AA225" i="2"/>
  <c r="AA240" i="2"/>
  <c r="AA247" i="2"/>
  <c r="AA248" i="2"/>
  <c r="AA249" i="2"/>
  <c r="AA250" i="2"/>
  <c r="AA251" i="2"/>
  <c r="AM225" i="2"/>
  <c r="AM235" i="2"/>
  <c r="AM236" i="2"/>
  <c r="AM237" i="2"/>
  <c r="AM240" i="2"/>
  <c r="AM247" i="2"/>
  <c r="AM248" i="2"/>
  <c r="AM249" i="2"/>
  <c r="AM250" i="2"/>
  <c r="AM251" i="2"/>
  <c r="AG225" i="2"/>
  <c r="AG235" i="2"/>
  <c r="AG237" i="2"/>
  <c r="AG240" i="2"/>
  <c r="AG247" i="2"/>
  <c r="AG248" i="2"/>
  <c r="AG249" i="2"/>
  <c r="AG250" i="2"/>
  <c r="AG251" i="2"/>
  <c r="G58" i="2"/>
  <c r="AR225" i="2"/>
  <c r="AR235" i="2"/>
  <c r="AR236" i="2"/>
  <c r="AR237" i="2"/>
  <c r="AR240" i="2"/>
  <c r="AR247" i="2"/>
  <c r="AR248" i="2"/>
  <c r="AR249" i="2"/>
  <c r="AR250" i="2"/>
  <c r="AR251" i="2"/>
  <c r="AQ225" i="2"/>
  <c r="AQ235" i="2"/>
  <c r="AQ236" i="2"/>
  <c r="AQ237" i="2"/>
  <c r="AQ240" i="2"/>
  <c r="AQ247" i="2"/>
  <c r="AQ248" i="2"/>
  <c r="AQ249" i="2"/>
  <c r="AQ250" i="2"/>
  <c r="AQ251" i="2"/>
  <c r="AO225" i="2"/>
  <c r="AO235" i="2"/>
  <c r="AO236" i="2"/>
  <c r="AO237" i="2"/>
  <c r="AO247" i="2"/>
  <c r="AO248" i="2"/>
  <c r="AO249" i="2"/>
  <c r="AO250" i="2"/>
  <c r="AO251" i="2"/>
  <c r="AO240" i="2"/>
  <c r="AN225" i="2"/>
  <c r="AN235" i="2"/>
  <c r="AN236" i="2"/>
  <c r="AN237" i="2"/>
  <c r="AN240" i="2"/>
  <c r="AN247" i="2"/>
  <c r="AN248" i="2"/>
  <c r="AN249" i="2"/>
  <c r="AN250" i="2"/>
  <c r="AN251" i="2"/>
  <c r="P200" i="2"/>
  <c r="I223" i="2"/>
  <c r="L85" i="2"/>
  <c r="B237" i="2"/>
  <c r="B235" i="2"/>
  <c r="E198" i="2"/>
  <c r="H106" i="2"/>
  <c r="H105" i="2"/>
  <c r="E148" i="2"/>
  <c r="B236" i="2"/>
  <c r="V33" i="11"/>
  <c r="AB33" i="11"/>
  <c r="AA33" i="11" s="1"/>
  <c r="AF33" i="11"/>
  <c r="F34" i="11"/>
  <c r="W33" i="11"/>
  <c r="Z33" i="11"/>
  <c r="AD33" i="11"/>
  <c r="N65" i="2"/>
  <c r="P66" i="2"/>
  <c r="N66" i="2"/>
  <c r="N69" i="2"/>
  <c r="O66" i="2"/>
  <c r="E377" i="10"/>
  <c r="G102" i="2"/>
  <c r="I102" i="2" s="1"/>
  <c r="B10" i="9"/>
  <c r="C371" i="10" s="1"/>
  <c r="N371" i="10" s="1"/>
  <c r="O69" i="2"/>
  <c r="S13" i="9"/>
  <c r="G13" i="9"/>
  <c r="O13" i="9"/>
  <c r="M13" i="9"/>
  <c r="K13" i="9"/>
  <c r="P14" i="9" s="1"/>
  <c r="H13" i="9"/>
  <c r="F13" i="9"/>
  <c r="D13" i="9"/>
  <c r="D14" i="9" s="1"/>
  <c r="G372" i="10" s="1"/>
  <c r="R13" i="9"/>
  <c r="N13" i="9"/>
  <c r="L13" i="9"/>
  <c r="I13" i="9"/>
  <c r="E13" i="9"/>
  <c r="E14" i="9" s="1"/>
  <c r="H372" i="10" s="1"/>
  <c r="Q14" i="9"/>
  <c r="N67" i="2"/>
  <c r="L34" i="1"/>
  <c r="P34" i="1" s="1"/>
  <c r="P40" i="1" s="1"/>
  <c r="E16" i="9"/>
  <c r="E17" i="9" s="1"/>
  <c r="H373" i="10" s="1"/>
  <c r="H16" i="9"/>
  <c r="I16" i="9"/>
  <c r="M16" i="9"/>
  <c r="O16" i="9"/>
  <c r="R16" i="9"/>
  <c r="K16" i="9"/>
  <c r="F28" i="9"/>
  <c r="H28" i="9"/>
  <c r="I28" i="9"/>
  <c r="L28" i="9"/>
  <c r="N28" i="9"/>
  <c r="S28" i="9"/>
  <c r="S19" i="9"/>
  <c r="R22" i="9"/>
  <c r="S16" i="9"/>
  <c r="P17" i="9"/>
  <c r="N17" i="9" s="1"/>
  <c r="Q17" i="9"/>
  <c r="O17" i="9" s="1"/>
  <c r="G17" i="9"/>
  <c r="J373" i="10" s="1"/>
  <c r="M373" i="10" s="1"/>
  <c r="F17" i="9"/>
  <c r="I17" i="9" s="1"/>
  <c r="L373" i="10" s="1"/>
  <c r="I37" i="9"/>
  <c r="L34" i="12"/>
  <c r="M69" i="2"/>
  <c r="M67" i="2"/>
  <c r="O67" i="2"/>
  <c r="G83" i="12"/>
  <c r="Q33" i="11"/>
  <c r="S33" i="11"/>
  <c r="T33" i="11"/>
  <c r="Z67" i="11"/>
  <c r="Q68" i="11"/>
  <c r="X33" i="11"/>
  <c r="E94" i="12"/>
  <c r="O34" i="1"/>
  <c r="O40" i="1" s="1"/>
  <c r="O62" i="1" s="1"/>
  <c r="O68" i="1" s="1"/>
  <c r="O90" i="1" s="1"/>
  <c r="O96" i="1" s="1"/>
  <c r="O118" i="1" s="1"/>
  <c r="O124" i="1" s="1"/>
  <c r="O146" i="1" s="1"/>
  <c r="O152" i="1" s="1"/>
  <c r="O174" i="1" s="1"/>
  <c r="O180" i="1" s="1"/>
  <c r="O202" i="1" s="1"/>
  <c r="G34" i="11"/>
  <c r="G35" i="11"/>
  <c r="I35" i="11"/>
  <c r="Y33" i="11"/>
  <c r="AC33" i="11"/>
  <c r="L34" i="11"/>
  <c r="L35" i="11"/>
  <c r="N35" i="11"/>
  <c r="M34" i="11"/>
  <c r="M35" i="11"/>
  <c r="K35" i="11"/>
  <c r="N34" i="11"/>
  <c r="AE33" i="11"/>
  <c r="O225" i="2"/>
  <c r="Q18" i="2"/>
  <c r="H74" i="2"/>
  <c r="P225" i="2"/>
  <c r="P18" i="2"/>
  <c r="BQ225" i="2" s="1"/>
  <c r="BT225" i="2"/>
  <c r="BL225" i="2"/>
  <c r="Y16" i="10"/>
  <c r="I121" i="2"/>
  <c r="N121" i="2"/>
  <c r="Y44" i="10"/>
  <c r="AF171" i="2"/>
  <c r="Y35" i="10"/>
  <c r="AA172" i="2"/>
  <c r="Y21" i="10"/>
  <c r="AA169" i="2"/>
  <c r="Y72" i="10" l="1"/>
  <c r="Y71" i="10"/>
  <c r="Y70" i="10"/>
  <c r="CC62" i="2"/>
  <c r="P62" i="2"/>
  <c r="O62" i="2"/>
  <c r="N62" i="2"/>
  <c r="Y31" i="10"/>
  <c r="A90" i="2"/>
  <c r="BH90" i="2" s="1"/>
  <c r="Y23" i="10"/>
  <c r="Y9" i="10"/>
  <c r="J83" i="12"/>
  <c r="P252" i="2"/>
  <c r="O252" i="2"/>
  <c r="L40" i="1"/>
  <c r="L62" i="1" s="1"/>
  <c r="P62" i="1" s="1"/>
  <c r="P68" i="1" s="1"/>
  <c r="M34" i="1"/>
  <c r="T133" i="2"/>
  <c r="Y61" i="10"/>
  <c r="U140" i="2"/>
  <c r="T140" i="2"/>
  <c r="U133" i="2"/>
  <c r="K38" i="9"/>
  <c r="I36" i="9"/>
  <c r="K25" i="9"/>
  <c r="M25" i="9"/>
  <c r="I25" i="9"/>
  <c r="L25" i="9"/>
  <c r="N25" i="9"/>
  <c r="R25" i="9"/>
  <c r="C26" i="9"/>
  <c r="F376" i="10" s="1"/>
  <c r="F10" i="9"/>
  <c r="K10" i="9"/>
  <c r="P11" i="9" s="1"/>
  <c r="H10" i="9"/>
  <c r="G10" i="9"/>
  <c r="I10" i="9"/>
  <c r="O10" i="9"/>
  <c r="AV248" i="2"/>
  <c r="O146" i="2"/>
  <c r="C9" i="13" s="1"/>
  <c r="K33" i="13" s="1"/>
  <c r="M22" i="9"/>
  <c r="A33" i="2"/>
  <c r="A30" i="2"/>
  <c r="BG102" i="2"/>
  <c r="BI102" i="2" s="1"/>
  <c r="R102" i="2" s="1"/>
  <c r="BH102" i="2"/>
  <c r="BF102" i="2"/>
  <c r="Q225" i="2"/>
  <c r="H225" i="2"/>
  <c r="I83" i="12"/>
  <c r="M10" i="9"/>
  <c r="L10" i="9"/>
  <c r="N10" i="9"/>
  <c r="C14" i="9"/>
  <c r="F372" i="10" s="1"/>
  <c r="B372" i="10" s="1"/>
  <c r="BJ102" i="2"/>
  <c r="O102" i="2"/>
  <c r="M102" i="2"/>
  <c r="P102" i="2"/>
  <c r="N102" i="2"/>
  <c r="Y64" i="10"/>
  <c r="BV49" i="2"/>
  <c r="C11" i="9"/>
  <c r="A95" i="2"/>
  <c r="R18" i="2"/>
  <c r="P483" i="10"/>
  <c r="Q483" i="10" s="1"/>
  <c r="H483" i="10" s="1"/>
  <c r="AF169" i="2"/>
  <c r="P131" i="2"/>
  <c r="L252" i="2"/>
  <c r="N252" i="2"/>
  <c r="Q122" i="2"/>
  <c r="O131" i="2"/>
  <c r="C10" i="13" s="1"/>
  <c r="K34" i="13" s="1"/>
  <c r="Q34" i="13" s="1"/>
  <c r="Q73" i="2"/>
  <c r="I22" i="9"/>
  <c r="L22" i="9"/>
  <c r="N22" i="9"/>
  <c r="S22" i="9"/>
  <c r="U22" i="9" s="1"/>
  <c r="Y30" i="10"/>
  <c r="Y41" i="10"/>
  <c r="Y39" i="10"/>
  <c r="Y22" i="10"/>
  <c r="Y77" i="10" s="1"/>
  <c r="Y14" i="10"/>
  <c r="Y26" i="10"/>
  <c r="Y25" i="10"/>
  <c r="Y42" i="10"/>
  <c r="Y40" i="10"/>
  <c r="Y38" i="10"/>
  <c r="Y15" i="10"/>
  <c r="Y13" i="10"/>
  <c r="Y27" i="10"/>
  <c r="BP60" i="2"/>
  <c r="BV54" i="2"/>
  <c r="Y58" i="10"/>
  <c r="Y17" i="10"/>
  <c r="Y49" i="10"/>
  <c r="Y54" i="10"/>
  <c r="Y67" i="10"/>
  <c r="Q72" i="2"/>
  <c r="F83" i="12"/>
  <c r="E83" i="12" s="1"/>
  <c r="Q131" i="2"/>
  <c r="P122" i="2"/>
  <c r="O122" i="2"/>
  <c r="Q11" i="9"/>
  <c r="M38" i="9"/>
  <c r="R10" i="9"/>
  <c r="E10" i="9"/>
  <c r="E11" i="9" s="1"/>
  <c r="H371" i="10" s="1"/>
  <c r="S10" i="9"/>
  <c r="D10" i="9"/>
  <c r="D11" i="9" s="1"/>
  <c r="G371" i="10" s="1"/>
  <c r="B31" i="9"/>
  <c r="C378" i="10" s="1"/>
  <c r="N378" i="10" s="1"/>
  <c r="Y10" i="10"/>
  <c r="Y53" i="10"/>
  <c r="Y34" i="10"/>
  <c r="Y37" i="10"/>
  <c r="Y33" i="10"/>
  <c r="Y48" i="10"/>
  <c r="Y55" i="10"/>
  <c r="Y43" i="10"/>
  <c r="Y11" i="10"/>
  <c r="Y20" i="10"/>
  <c r="Y60" i="10"/>
  <c r="Y56" i="10"/>
  <c r="BC74" i="2"/>
  <c r="BG38" i="2" s="1"/>
  <c r="BH38" i="2" s="1"/>
  <c r="Y32" i="10"/>
  <c r="BU51" i="2"/>
  <c r="E496" i="10"/>
  <c r="E501" i="10" s="1"/>
  <c r="AA161" i="2" s="1"/>
  <c r="BB75" i="2"/>
  <c r="Q75" i="2"/>
  <c r="BU46" i="2"/>
  <c r="BU48" i="2"/>
  <c r="BU50" i="2"/>
  <c r="BU52" i="2"/>
  <c r="BU54" i="2"/>
  <c r="BV48" i="2"/>
  <c r="Y45" i="10"/>
  <c r="Y59" i="10"/>
  <c r="Y7" i="10"/>
  <c r="Y18" i="10"/>
  <c r="Y57" i="10"/>
  <c r="Y19" i="10"/>
  <c r="Y24" i="10"/>
  <c r="Y51" i="10"/>
  <c r="Y12" i="10"/>
  <c r="Y46" i="10"/>
  <c r="Y8" i="10"/>
  <c r="Y50" i="10"/>
  <c r="Y47" i="10"/>
  <c r="Y36" i="10"/>
  <c r="Y52" i="10"/>
  <c r="Y62" i="10"/>
  <c r="Y28" i="10"/>
  <c r="Y63" i="10"/>
  <c r="Y29" i="10"/>
  <c r="BS48" i="2"/>
  <c r="B377" i="10"/>
  <c r="BV50" i="2"/>
  <c r="BV46" i="2"/>
  <c r="BV52" i="2"/>
  <c r="Q74" i="2"/>
  <c r="M122" i="2"/>
  <c r="U119" i="2"/>
  <c r="H35" i="11"/>
  <c r="H83" i="12"/>
  <c r="U16" i="9"/>
  <c r="U28" i="9"/>
  <c r="I496" i="10"/>
  <c r="BO225" i="2"/>
  <c r="N143" i="2"/>
  <c r="R122" i="2"/>
  <c r="G90" i="2"/>
  <c r="A92" i="2"/>
  <c r="C23" i="9"/>
  <c r="F375" i="10" s="1"/>
  <c r="B375" i="10" s="1"/>
  <c r="A91" i="2"/>
  <c r="D31" i="9"/>
  <c r="D32" i="9" s="1"/>
  <c r="G378" i="10" s="1"/>
  <c r="Q486" i="10"/>
  <c r="H486" i="10" s="1"/>
  <c r="Y65" i="10"/>
  <c r="Y66" i="10"/>
  <c r="BV47" i="2"/>
  <c r="B376" i="10"/>
  <c r="A34" i="2"/>
  <c r="BG90" i="2"/>
  <c r="BF90" i="2"/>
  <c r="H26" i="9"/>
  <c r="K376" i="10" s="1"/>
  <c r="E376" i="10"/>
  <c r="C17" i="9"/>
  <c r="F373" i="10" s="1"/>
  <c r="B373" i="10" s="1"/>
  <c r="BU49" i="2"/>
  <c r="G49" i="2" s="1"/>
  <c r="BP61" i="2" s="1"/>
  <c r="P482" i="10"/>
  <c r="Q482" i="10" s="1"/>
  <c r="H482" i="10" s="1"/>
  <c r="BV53" i="2"/>
  <c r="BV51" i="2"/>
  <c r="BU53" i="2"/>
  <c r="G53" i="2" s="1"/>
  <c r="C20" i="9"/>
  <c r="F374" i="10" s="1"/>
  <c r="B374" i="10" s="1"/>
  <c r="E372" i="10"/>
  <c r="BU47" i="2"/>
  <c r="BE252" i="2"/>
  <c r="G109" i="2"/>
  <c r="N185" i="2" s="1"/>
  <c r="T25" i="9"/>
  <c r="H29" i="9"/>
  <c r="K377" i="10" s="1"/>
  <c r="H23" i="9"/>
  <c r="K375" i="10" s="1"/>
  <c r="I375" i="10"/>
  <c r="U19" i="9"/>
  <c r="T13" i="9"/>
  <c r="N14" i="9" s="1"/>
  <c r="F14" i="9" s="1"/>
  <c r="BI252" i="2"/>
  <c r="O265" i="2" s="1"/>
  <c r="U25" i="9"/>
  <c r="I377" i="10"/>
  <c r="H20" i="9"/>
  <c r="K374" i="10" s="1"/>
  <c r="I376" i="10"/>
  <c r="AM252" i="2"/>
  <c r="F260" i="2" s="1"/>
  <c r="BJ252" i="2"/>
  <c r="P265" i="2" s="1"/>
  <c r="AP252" i="2"/>
  <c r="N260" i="2" s="1"/>
  <c r="T19" i="9"/>
  <c r="T22" i="9"/>
  <c r="T28" i="9"/>
  <c r="T16" i="9"/>
  <c r="I373" i="10"/>
  <c r="H17" i="9"/>
  <c r="K373" i="10" s="1"/>
  <c r="I374" i="10"/>
  <c r="D109" i="2"/>
  <c r="V111" i="2" s="1"/>
  <c r="X109" i="2" s="1"/>
  <c r="X111" i="2" s="1"/>
  <c r="N68" i="2"/>
  <c r="BG252" i="2"/>
  <c r="M265" i="2" s="1"/>
  <c r="AO252" i="2"/>
  <c r="M260" i="2" s="1"/>
  <c r="BP56" i="2"/>
  <c r="N131" i="2"/>
  <c r="B10" i="13" s="1"/>
  <c r="H73" i="2"/>
  <c r="S73" i="2"/>
  <c r="BC73" i="2"/>
  <c r="BG37" i="2" s="1"/>
  <c r="BH37" i="2" s="1"/>
  <c r="BC72" i="2"/>
  <c r="BG36" i="2" s="1"/>
  <c r="BH36" i="2" s="1"/>
  <c r="S72" i="2"/>
  <c r="H72" i="2"/>
  <c r="BC61" i="2" s="1"/>
  <c r="AN252" i="2"/>
  <c r="L260" i="2" s="1"/>
  <c r="O74" i="2"/>
  <c r="P74" i="2"/>
  <c r="M74" i="2"/>
  <c r="U13" i="9"/>
  <c r="O14" i="9" s="1"/>
  <c r="G14" i="9" s="1"/>
  <c r="J372" i="10" s="1"/>
  <c r="M372" i="10" s="1"/>
  <c r="AQ252" i="2"/>
  <c r="O260" i="2" s="1"/>
  <c r="AR252" i="2"/>
  <c r="P260" i="2" s="1"/>
  <c r="P176" i="2"/>
  <c r="X1" i="13"/>
  <c r="P2" i="9"/>
  <c r="P85" i="2"/>
  <c r="O198" i="2"/>
  <c r="P113" i="2"/>
  <c r="N74" i="2"/>
  <c r="BH252" i="2"/>
  <c r="N265" i="2" s="1"/>
  <c r="A265" i="2" s="1"/>
  <c r="BF252" i="2"/>
  <c r="L265" i="2" s="1"/>
  <c r="L68" i="1"/>
  <c r="L90" i="1" s="1"/>
  <c r="BP58" i="2"/>
  <c r="BO58" i="2"/>
  <c r="K83" i="12" l="1"/>
  <c r="I62" i="2"/>
  <c r="M62" i="2" s="1"/>
  <c r="R62" i="2"/>
  <c r="T10" i="9"/>
  <c r="A239" i="2"/>
  <c r="H239" i="2" s="1"/>
  <c r="O33" i="2"/>
  <c r="P239" i="2" s="1"/>
  <c r="K33" i="2"/>
  <c r="F21" i="12" s="1"/>
  <c r="L33" i="2"/>
  <c r="M33" i="2"/>
  <c r="N33" i="2"/>
  <c r="O239" i="2" s="1"/>
  <c r="G54" i="2"/>
  <c r="M40" i="1"/>
  <c r="M62" i="1" s="1"/>
  <c r="Q34" i="1"/>
  <c r="Q40" i="1" s="1"/>
  <c r="C8" i="13"/>
  <c r="K32" i="13" s="1"/>
  <c r="U123" i="2"/>
  <c r="U122" i="2"/>
  <c r="C22" i="13"/>
  <c r="U10" i="9"/>
  <c r="O11" i="9" s="1"/>
  <c r="G11" i="9" s="1"/>
  <c r="J371" i="10" s="1"/>
  <c r="M371" i="10" s="1"/>
  <c r="Q239" i="2"/>
  <c r="V21" i="12"/>
  <c r="A240" i="2"/>
  <c r="Q240" i="2" s="1"/>
  <c r="K34" i="2"/>
  <c r="F22" i="12" s="1"/>
  <c r="O34" i="2"/>
  <c r="P240" i="2" s="1"/>
  <c r="N34" i="2"/>
  <c r="O240" i="2" s="1"/>
  <c r="L34" i="2"/>
  <c r="M34" i="2"/>
  <c r="L31" i="9"/>
  <c r="M81" i="12"/>
  <c r="H87" i="12" s="1"/>
  <c r="J89" i="12" s="1"/>
  <c r="N11" i="9"/>
  <c r="F11" i="9" s="1"/>
  <c r="I11" i="9" s="1"/>
  <c r="L371" i="10" s="1"/>
  <c r="I372" i="10"/>
  <c r="I14" i="9"/>
  <c r="L372" i="10" s="1"/>
  <c r="H14" i="9"/>
  <c r="K372" i="10" s="1"/>
  <c r="F371" i="10"/>
  <c r="G95" i="2"/>
  <c r="O95" i="2"/>
  <c r="N95" i="2"/>
  <c r="P95" i="2"/>
  <c r="K31" i="9"/>
  <c r="P32" i="9" s="1"/>
  <c r="I31" i="9"/>
  <c r="F31" i="9"/>
  <c r="R31" i="9"/>
  <c r="F54" i="2"/>
  <c r="R37" i="2"/>
  <c r="Q148" i="2"/>
  <c r="O148" i="2"/>
  <c r="K181" i="2" s="1"/>
  <c r="P148" i="2"/>
  <c r="BP62" i="2"/>
  <c r="L33" i="12" s="1"/>
  <c r="I46" i="12" s="1"/>
  <c r="F46" i="2"/>
  <c r="G46" i="2"/>
  <c r="G51" i="2"/>
  <c r="G52" i="2"/>
  <c r="F47" i="2"/>
  <c r="G50" i="2"/>
  <c r="F51" i="2"/>
  <c r="G47" i="2"/>
  <c r="F50" i="2"/>
  <c r="C21" i="13"/>
  <c r="G92" i="2"/>
  <c r="I92" i="2" s="1"/>
  <c r="P92" i="2" s="1"/>
  <c r="G91" i="2"/>
  <c r="N92" i="2"/>
  <c r="BG92" i="2"/>
  <c r="G48" i="2"/>
  <c r="O185" i="2"/>
  <c r="E504" i="10"/>
  <c r="AA166" i="2" s="1"/>
  <c r="E500" i="10"/>
  <c r="AA160" i="2" s="1"/>
  <c r="C83" i="12"/>
  <c r="F84" i="12"/>
  <c r="BP57" i="2"/>
  <c r="Q46" i="2" s="1"/>
  <c r="BO57" i="2"/>
  <c r="F48" i="2"/>
  <c r="F52" i="2"/>
  <c r="M31" i="9"/>
  <c r="O31" i="9"/>
  <c r="E31" i="9"/>
  <c r="E32" i="9" s="1"/>
  <c r="H378" i="10" s="1"/>
  <c r="N31" i="9"/>
  <c r="G31" i="9"/>
  <c r="C32" i="9"/>
  <c r="F378" i="10" s="1"/>
  <c r="E497" i="10"/>
  <c r="R6" i="2" s="1"/>
  <c r="E507" i="10"/>
  <c r="B164" i="2" s="1"/>
  <c r="B180" i="2" s="1"/>
  <c r="E505" i="10"/>
  <c r="AA122" i="2" s="1"/>
  <c r="BA76" i="2"/>
  <c r="BB76" i="2" s="1"/>
  <c r="BA77" i="2"/>
  <c r="BB77" i="2" s="1"/>
  <c r="S31" i="9"/>
  <c r="H31" i="9"/>
  <c r="E506" i="10"/>
  <c r="AA150" i="2" s="1"/>
  <c r="E503" i="10"/>
  <c r="AA164" i="2" s="1"/>
  <c r="E499" i="10"/>
  <c r="E502" i="10"/>
  <c r="AA162" i="2" s="1"/>
  <c r="E498" i="10"/>
  <c r="K171" i="2" s="1"/>
  <c r="H75" i="2"/>
  <c r="BC60" i="2" s="1"/>
  <c r="BC75" i="2"/>
  <c r="BG39" i="2" s="1"/>
  <c r="BH39" i="2" s="1"/>
  <c r="S75" i="2"/>
  <c r="BP65" i="2"/>
  <c r="N33" i="12" s="1"/>
  <c r="K46" i="12" s="1"/>
  <c r="K50" i="12" s="1"/>
  <c r="BI90" i="2"/>
  <c r="R90" i="2" s="1"/>
  <c r="V22" i="12"/>
  <c r="F49" i="2"/>
  <c r="BF91" i="2"/>
  <c r="BG91" i="2"/>
  <c r="BH91" i="2"/>
  <c r="BF92" i="2"/>
  <c r="BH92" i="2"/>
  <c r="BJ90" i="2"/>
  <c r="I90" i="2"/>
  <c r="F53" i="2"/>
  <c r="G111" i="2"/>
  <c r="N111" i="2"/>
  <c r="C152" i="2" s="1"/>
  <c r="H152" i="2" s="1"/>
  <c r="I134" i="2" s="1"/>
  <c r="N134" i="2" s="1"/>
  <c r="T134" i="2" s="1"/>
  <c r="C260" i="2"/>
  <c r="D260" i="2" s="1"/>
  <c r="B22" i="13"/>
  <c r="K10" i="13"/>
  <c r="Q10" i="13" s="1"/>
  <c r="M72" i="2"/>
  <c r="N72" i="2"/>
  <c r="M73" i="2"/>
  <c r="N73" i="2"/>
  <c r="Q32" i="13"/>
  <c r="Q33" i="13"/>
  <c r="L96" i="1"/>
  <c r="L118" i="1" s="1"/>
  <c r="P90" i="1"/>
  <c r="P96" i="1" s="1"/>
  <c r="J87" i="12" l="1"/>
  <c r="M90" i="2"/>
  <c r="BJ91" i="2"/>
  <c r="BI91" i="2"/>
  <c r="P33" i="2"/>
  <c r="BQ239" i="2" s="1"/>
  <c r="BL239" i="2"/>
  <c r="BT239" i="2"/>
  <c r="Q33" i="2"/>
  <c r="R33" i="2"/>
  <c r="B21" i="12"/>
  <c r="E21" i="12" s="1"/>
  <c r="C20" i="13"/>
  <c r="H240" i="2"/>
  <c r="M68" i="1"/>
  <c r="M90" i="1" s="1"/>
  <c r="Q62" i="1"/>
  <c r="Q68" i="1" s="1"/>
  <c r="BO61" i="2"/>
  <c r="BO56" i="2"/>
  <c r="BO59" i="2" s="1"/>
  <c r="J32" i="12" s="1"/>
  <c r="G48" i="12" s="1"/>
  <c r="Q45" i="2"/>
  <c r="Y22" i="12"/>
  <c r="Y20" i="12"/>
  <c r="Y21" i="12"/>
  <c r="L133" i="2"/>
  <c r="I145" i="2"/>
  <c r="N145" i="2" s="1"/>
  <c r="H133" i="2"/>
  <c r="B22" i="12"/>
  <c r="E22" i="12" s="1"/>
  <c r="P34" i="2"/>
  <c r="BQ240" i="2" s="1"/>
  <c r="BT240" i="2"/>
  <c r="Q34" i="2"/>
  <c r="BL240" i="2"/>
  <c r="R34" i="2"/>
  <c r="I371" i="10"/>
  <c r="Y19" i="12"/>
  <c r="Y18" i="12"/>
  <c r="Q32" i="9"/>
  <c r="H11" i="9"/>
  <c r="K371" i="10" s="1"/>
  <c r="T31" i="9"/>
  <c r="N32" i="9" s="1"/>
  <c r="F32" i="9" s="1"/>
  <c r="A47" i="9"/>
  <c r="B371" i="10"/>
  <c r="I95" i="2"/>
  <c r="M95" i="2"/>
  <c r="O92" i="2"/>
  <c r="BJ92" i="2"/>
  <c r="B378" i="10"/>
  <c r="U31" i="9"/>
  <c r="I91" i="2"/>
  <c r="N91" i="2" s="1"/>
  <c r="Q56" i="2"/>
  <c r="BI92" i="2"/>
  <c r="R92" i="2" s="1"/>
  <c r="N90" i="2"/>
  <c r="P90" i="2"/>
  <c r="O90" i="2"/>
  <c r="BO62" i="2"/>
  <c r="L32" i="12" s="1"/>
  <c r="I48" i="12" s="1"/>
  <c r="BG54" i="2"/>
  <c r="BH54" i="2" s="1"/>
  <c r="BG53" i="2"/>
  <c r="BH53" i="2" s="1"/>
  <c r="BP59" i="2"/>
  <c r="J33" i="12" s="1"/>
  <c r="G33" i="12" s="1"/>
  <c r="Q76" i="2"/>
  <c r="BC76" i="2"/>
  <c r="BG40" i="2" s="1"/>
  <c r="BH40" i="2" s="1"/>
  <c r="S76" i="2"/>
  <c r="H76" i="2"/>
  <c r="BC59" i="2" s="1"/>
  <c r="AA158" i="2"/>
  <c r="AA152" i="2"/>
  <c r="O75" i="2"/>
  <c r="M75" i="2"/>
  <c r="N75" i="2"/>
  <c r="P75" i="2"/>
  <c r="P46" i="2"/>
  <c r="O46" i="2" s="1"/>
  <c r="L124" i="1"/>
  <c r="L146" i="1" s="1"/>
  <c r="P118" i="1"/>
  <c r="P124" i="1" s="1"/>
  <c r="M91" i="2" l="1"/>
  <c r="R91" i="2"/>
  <c r="M92" i="2"/>
  <c r="U21" i="12"/>
  <c r="D21" i="12" s="1"/>
  <c r="BO239" i="2"/>
  <c r="A32" i="2"/>
  <c r="U22" i="12"/>
  <c r="D22" i="12" s="1"/>
  <c r="Z22" i="12" s="1"/>
  <c r="M96" i="1"/>
  <c r="M118" i="1" s="1"/>
  <c r="Q90" i="1"/>
  <c r="Q96" i="1" s="1"/>
  <c r="P45" i="2"/>
  <c r="O45" i="2" s="1"/>
  <c r="I378" i="10"/>
  <c r="H32" i="9"/>
  <c r="K378" i="10" s="1"/>
  <c r="I32" i="9"/>
  <c r="L378" i="10" s="1"/>
  <c r="O32" i="9"/>
  <c r="G32" i="9" s="1"/>
  <c r="J378" i="10" s="1"/>
  <c r="M378" i="10" s="1"/>
  <c r="BO240" i="2"/>
  <c r="M107" i="2"/>
  <c r="B6" i="13" s="1"/>
  <c r="J6" i="13" s="1"/>
  <c r="Q6" i="13" s="1"/>
  <c r="A31" i="2"/>
  <c r="O91" i="2"/>
  <c r="O107" i="2" s="1"/>
  <c r="N107" i="2"/>
  <c r="C6" i="13" s="1"/>
  <c r="J30" i="13" s="1"/>
  <c r="Q30" i="13" s="1"/>
  <c r="P91" i="2"/>
  <c r="P107" i="2" s="1"/>
  <c r="G46" i="12"/>
  <c r="G32" i="12"/>
  <c r="P76" i="2"/>
  <c r="O76" i="2"/>
  <c r="M76" i="2"/>
  <c r="N76" i="2"/>
  <c r="P146" i="1"/>
  <c r="P152" i="1" s="1"/>
  <c r="L152" i="1"/>
  <c r="L174" i="1" s="1"/>
  <c r="A238" i="2" l="1"/>
  <c r="M32" i="2"/>
  <c r="O32" i="2"/>
  <c r="P238" i="2" s="1"/>
  <c r="K32" i="2"/>
  <c r="F20" i="12" s="1"/>
  <c r="N32" i="2"/>
  <c r="O238" i="2" s="1"/>
  <c r="L32" i="2"/>
  <c r="V20" i="12"/>
  <c r="H22" i="12"/>
  <c r="L22" i="12"/>
  <c r="W22" i="12" s="1"/>
  <c r="O22" i="12" s="1"/>
  <c r="Q118" i="1"/>
  <c r="Q124" i="1" s="1"/>
  <c r="M124" i="1"/>
  <c r="M146" i="1" s="1"/>
  <c r="N138" i="2"/>
  <c r="N146" i="2" s="1"/>
  <c r="K31" i="2"/>
  <c r="F19" i="12" s="1"/>
  <c r="N31" i="2"/>
  <c r="O237" i="2" s="1"/>
  <c r="M31" i="2"/>
  <c r="L31" i="2"/>
  <c r="O31" i="2"/>
  <c r="P237" i="2" s="1"/>
  <c r="F17" i="12"/>
  <c r="P235" i="2"/>
  <c r="O235" i="2"/>
  <c r="V18" i="12"/>
  <c r="A236" i="2"/>
  <c r="A235" i="2"/>
  <c r="V19" i="12"/>
  <c r="A237" i="2"/>
  <c r="L21" i="12"/>
  <c r="H21" i="12"/>
  <c r="Z21" i="12"/>
  <c r="P174" i="1"/>
  <c r="P180" i="1" s="1"/>
  <c r="L180" i="1"/>
  <c r="L202" i="1" s="1"/>
  <c r="P202" i="1" s="1"/>
  <c r="BL238" i="2" l="1"/>
  <c r="BT238" i="2"/>
  <c r="P32" i="2"/>
  <c r="BQ238" i="2" s="1"/>
  <c r="Q32" i="2"/>
  <c r="B20" i="12"/>
  <c r="U20" i="12" s="1"/>
  <c r="D20" i="12" s="1"/>
  <c r="Q238" i="2"/>
  <c r="H238" i="2"/>
  <c r="AA22" i="12"/>
  <c r="M22" i="12"/>
  <c r="M152" i="1"/>
  <c r="M174" i="1" s="1"/>
  <c r="Q146" i="1"/>
  <c r="Q152" i="1" s="1"/>
  <c r="B17" i="12"/>
  <c r="E17" i="12" s="1"/>
  <c r="U17" i="12"/>
  <c r="D17" i="12" s="1"/>
  <c r="AX237" i="2"/>
  <c r="AX252" i="2" s="1"/>
  <c r="AF237" i="2"/>
  <c r="AF252" i="2" s="1"/>
  <c r="AW237" i="2"/>
  <c r="AW252" i="2" s="1"/>
  <c r="AE237" i="2"/>
  <c r="AE252" i="2" s="1"/>
  <c r="B9" i="13"/>
  <c r="K9" i="13" s="1"/>
  <c r="Q9" i="13" s="1"/>
  <c r="B19" i="12"/>
  <c r="U19" i="12" s="1"/>
  <c r="D19" i="12" s="1"/>
  <c r="Q31" i="2"/>
  <c r="BT237" i="2"/>
  <c r="BL237" i="2"/>
  <c r="P31" i="2"/>
  <c r="BQ237" i="2" s="1"/>
  <c r="BO237" i="2" s="1"/>
  <c r="BQ235" i="2"/>
  <c r="BL235" i="2"/>
  <c r="BT235" i="2"/>
  <c r="R29" i="2"/>
  <c r="Q235" i="2"/>
  <c r="Q237" i="2"/>
  <c r="H237" i="2"/>
  <c r="AA21" i="12"/>
  <c r="M21" i="12"/>
  <c r="W21" i="12"/>
  <c r="O21" i="12" s="1"/>
  <c r="BO238" i="2" l="1"/>
  <c r="R32" i="2"/>
  <c r="E20" i="12"/>
  <c r="H20" i="12" s="1"/>
  <c r="Q174" i="1"/>
  <c r="Q180" i="1" s="1"/>
  <c r="M180" i="1"/>
  <c r="M202" i="1" s="1"/>
  <c r="Q202" i="1" s="1"/>
  <c r="B21" i="13"/>
  <c r="O263" i="2"/>
  <c r="J263" i="2"/>
  <c r="P263" i="2"/>
  <c r="K263" i="2"/>
  <c r="AS237" i="2"/>
  <c r="AS252" i="2" s="1"/>
  <c r="AA237" i="2"/>
  <c r="AA252" i="2" s="1"/>
  <c r="C258" i="2" s="1"/>
  <c r="D258" i="2" s="1"/>
  <c r="F258" i="2" s="1"/>
  <c r="O258" i="2"/>
  <c r="J258" i="2"/>
  <c r="P258" i="2"/>
  <c r="K258" i="2"/>
  <c r="V17" i="12"/>
  <c r="H17" i="12"/>
  <c r="R31" i="2"/>
  <c r="E19" i="12"/>
  <c r="L19" i="12" s="1"/>
  <c r="BO235" i="2"/>
  <c r="L17" i="12"/>
  <c r="Z17" i="12"/>
  <c r="Z20" i="12" l="1"/>
  <c r="L20" i="12"/>
  <c r="AA20" i="12" s="1"/>
  <c r="W19" i="12"/>
  <c r="O19" i="12" s="1"/>
  <c r="M19" i="12"/>
  <c r="AA19" i="12"/>
  <c r="H19" i="12"/>
  <c r="Z19" i="12"/>
  <c r="AA17" i="12"/>
  <c r="W17" i="12"/>
  <c r="O17" i="12" s="1"/>
  <c r="BE18" i="2"/>
  <c r="BG18" i="2"/>
  <c r="W20" i="12" l="1"/>
  <c r="O20" i="12" s="1"/>
  <c r="M20" i="12"/>
  <c r="BI18" i="2"/>
  <c r="K18" i="2" s="1"/>
  <c r="E236" i="2" l="1"/>
  <c r="H236" i="2" s="1"/>
  <c r="F11" i="12"/>
  <c r="B11" i="12" s="1"/>
  <c r="N30" i="2" l="1"/>
  <c r="O30" i="2"/>
  <c r="M30" i="2"/>
  <c r="M35" i="2" s="1"/>
  <c r="K30" i="2"/>
  <c r="K35" i="2" s="1"/>
  <c r="L30" i="2"/>
  <c r="L35" i="2" s="1"/>
  <c r="Q236" i="2"/>
  <c r="E11" i="12"/>
  <c r="U11" i="12"/>
  <c r="H11" i="12"/>
  <c r="C11" i="12"/>
  <c r="I11" i="12" l="1"/>
  <c r="C9" i="12"/>
  <c r="C10" i="12"/>
  <c r="P236" i="2"/>
  <c r="O35" i="2"/>
  <c r="O38" i="2" s="1"/>
  <c r="M156" i="2" s="1"/>
  <c r="Q156" i="2" s="1"/>
  <c r="O236" i="2"/>
  <c r="O241" i="2" s="1"/>
  <c r="N35" i="2"/>
  <c r="N38" i="2" s="1"/>
  <c r="L156" i="2" s="1"/>
  <c r="P156" i="2" s="1"/>
  <c r="P241" i="2"/>
  <c r="BD236" i="2"/>
  <c r="BD252" i="2" s="1"/>
  <c r="AL236" i="2"/>
  <c r="AL252" i="2" s="1"/>
  <c r="AY236" i="2"/>
  <c r="AY252" i="2" s="1"/>
  <c r="AG236" i="2"/>
  <c r="AG252" i="2" s="1"/>
  <c r="C259" i="2" s="1"/>
  <c r="D259" i="2" s="1"/>
  <c r="F259" i="2" s="1"/>
  <c r="BC236" i="2"/>
  <c r="BC252" i="2" s="1"/>
  <c r="AK236" i="2"/>
  <c r="AK252" i="2" s="1"/>
  <c r="BL236" i="2"/>
  <c r="BL241" i="2" s="1"/>
  <c r="BT236" i="2"/>
  <c r="P30" i="2"/>
  <c r="P35" i="2" s="1"/>
  <c r="Q30" i="2"/>
  <c r="F18" i="12"/>
  <c r="D11" i="12"/>
  <c r="Q35" i="2" l="1"/>
  <c r="BW242" i="2" s="1"/>
  <c r="O259" i="2"/>
  <c r="J259" i="2"/>
  <c r="P264" i="2"/>
  <c r="K264" i="2"/>
  <c r="O264" i="2"/>
  <c r="J264" i="2"/>
  <c r="P259" i="2"/>
  <c r="K259" i="2"/>
  <c r="R30" i="2"/>
  <c r="R35" i="2" s="1"/>
  <c r="P242" i="2"/>
  <c r="O242" i="2"/>
  <c r="BQ236" i="2"/>
  <c r="BO236" i="2" s="1"/>
  <c r="P56" i="2"/>
  <c r="O44" i="2"/>
  <c r="B18" i="12"/>
  <c r="F23" i="12"/>
  <c r="BS242" i="2"/>
  <c r="Z11" i="12"/>
  <c r="L11" i="12"/>
  <c r="M11" i="12" s="1"/>
  <c r="L37" i="2" l="1"/>
  <c r="BW236" i="2"/>
  <c r="BW239" i="2"/>
  <c r="BW240" i="2"/>
  <c r="S37" i="2"/>
  <c r="S40" i="2"/>
  <c r="S35" i="2"/>
  <c r="Q123" i="2"/>
  <c r="R39" i="2"/>
  <c r="R40" i="2" s="1"/>
  <c r="W11" i="12"/>
  <c r="O11" i="12" s="1"/>
  <c r="V11" i="12"/>
  <c r="B66" i="12"/>
  <c r="O51" i="2"/>
  <c r="Q44" i="2"/>
  <c r="L81" i="2"/>
  <c r="K81" i="2" s="1"/>
  <c r="U18" i="12"/>
  <c r="E18" i="12"/>
  <c r="AA11" i="12"/>
  <c r="C153" i="2" l="1"/>
  <c r="H153" i="2" s="1"/>
  <c r="H154" i="2" s="1"/>
  <c r="I120" i="2" s="1"/>
  <c r="N120" i="2" s="1"/>
  <c r="T120" i="2" s="1"/>
  <c r="D18" i="12"/>
  <c r="G25" i="12"/>
  <c r="G49" i="12" s="1"/>
  <c r="N24" i="12"/>
  <c r="M47" i="12" s="1"/>
  <c r="I24" i="12"/>
  <c r="M46" i="12" s="1"/>
  <c r="U25" i="12"/>
  <c r="F24" i="12"/>
  <c r="O52" i="2"/>
  <c r="O53" i="2"/>
  <c r="G35" i="12" s="1"/>
  <c r="P44" i="2"/>
  <c r="Q51" i="2"/>
  <c r="H81" i="2"/>
  <c r="N81" i="2" s="1"/>
  <c r="K161" i="2" s="1"/>
  <c r="L40" i="2" l="1"/>
  <c r="F249" i="2"/>
  <c r="I119" i="2"/>
  <c r="N119" i="2" s="1"/>
  <c r="T119" i="2" s="1"/>
  <c r="M50" i="12"/>
  <c r="F25" i="12"/>
  <c r="I49" i="12" s="1"/>
  <c r="F26" i="12"/>
  <c r="E42" i="12" s="1"/>
  <c r="Q52" i="2"/>
  <c r="Q53" i="2"/>
  <c r="P53" i="2" s="1"/>
  <c r="P51" i="2"/>
  <c r="G34" i="12"/>
  <c r="E43" i="12" s="1"/>
  <c r="O54" i="2"/>
  <c r="H78" i="2" s="1"/>
  <c r="G7" i="12"/>
  <c r="G10" i="12"/>
  <c r="G9" i="12"/>
  <c r="G8" i="12"/>
  <c r="Z18" i="12"/>
  <c r="Z24" i="12" s="1"/>
  <c r="H18" i="12"/>
  <c r="L18" i="12"/>
  <c r="O161" i="2"/>
  <c r="C15" i="13"/>
  <c r="C23" i="13" s="1"/>
  <c r="C24" i="13" s="1"/>
  <c r="BD61" i="2"/>
  <c r="BE61" i="2" s="1"/>
  <c r="T122" i="2" l="1"/>
  <c r="N122" i="2"/>
  <c r="Q249" i="2"/>
  <c r="M249" i="2"/>
  <c r="P57" i="2"/>
  <c r="BG34" i="2" s="1"/>
  <c r="BH34" i="2" s="1"/>
  <c r="H77" i="2"/>
  <c r="G30" i="12"/>
  <c r="Q54" i="2"/>
  <c r="P54" i="2" s="1"/>
  <c r="P52" i="2"/>
  <c r="K36" i="2"/>
  <c r="AA18" i="12"/>
  <c r="AA24" i="12" s="1"/>
  <c r="AB24" i="12" s="1"/>
  <c r="H88" i="12" s="1"/>
  <c r="J88" i="12" s="1"/>
  <c r="W18" i="12"/>
  <c r="O18" i="12" s="1"/>
  <c r="M18" i="12"/>
  <c r="BF61" i="2"/>
  <c r="BD60" i="2" l="1"/>
  <c r="BE60" i="2" s="1"/>
  <c r="BF60" i="2" s="1"/>
  <c r="BD59" i="2"/>
  <c r="BE59" i="2" s="1"/>
  <c r="BF59" i="2" s="1"/>
  <c r="BM231" i="2"/>
  <c r="BN231" i="2" s="1"/>
  <c r="BM229" i="2"/>
  <c r="BN229" i="2" s="1"/>
  <c r="N231" i="2"/>
  <c r="N229" i="2"/>
  <c r="N235" i="2"/>
  <c r="H235" i="2" s="1"/>
  <c r="B8" i="13"/>
  <c r="T123" i="2"/>
  <c r="N148" i="2"/>
  <c r="J181" i="2" s="1"/>
  <c r="BA249" i="2"/>
  <c r="M252" i="2"/>
  <c r="BM238" i="2"/>
  <c r="BN238" i="2" s="1"/>
  <c r="BR238" i="2" s="1"/>
  <c r="N240" i="2"/>
  <c r="N237" i="2"/>
  <c r="N239" i="2"/>
  <c r="N236" i="2"/>
  <c r="N238" i="2"/>
  <c r="O10" i="12"/>
  <c r="O9" i="12"/>
  <c r="BM225" i="2"/>
  <c r="BN225" i="2" s="1"/>
  <c r="N225" i="2"/>
  <c r="BM240" i="2"/>
  <c r="BN240" i="2" s="1"/>
  <c r="M36" i="2"/>
  <c r="M38" i="2" s="1"/>
  <c r="K156" i="2" s="1"/>
  <c r="L36" i="2"/>
  <c r="BM237" i="2"/>
  <c r="BN237" i="2" s="1"/>
  <c r="BM239" i="2"/>
  <c r="BN239" i="2" s="1"/>
  <c r="BM235" i="2"/>
  <c r="BN235" i="2" s="1"/>
  <c r="J30" i="12"/>
  <c r="G45" i="12" s="1"/>
  <c r="N77" i="2"/>
  <c r="M77" i="2"/>
  <c r="O77" i="2"/>
  <c r="BG46" i="2"/>
  <c r="BG47" i="2"/>
  <c r="BH47" i="2" s="1"/>
  <c r="P77" i="2"/>
  <c r="G77" i="2"/>
  <c r="S62" i="2" l="1"/>
  <c r="S61" i="2"/>
  <c r="BG48" i="2" s="1"/>
  <c r="AJ229" i="2"/>
  <c r="BB229" i="2"/>
  <c r="BP229" i="2"/>
  <c r="BZ229" i="2" s="1"/>
  <c r="BR229" i="2"/>
  <c r="BU229" i="2"/>
  <c r="BV229" i="2" s="1"/>
  <c r="BR231" i="2"/>
  <c r="BU231" i="2"/>
  <c r="BV231" i="2" s="1"/>
  <c r="BP231" i="2"/>
  <c r="BZ231" i="2" s="1"/>
  <c r="B20" i="13"/>
  <c r="B24" i="13" s="1"/>
  <c r="K8" i="13"/>
  <c r="Q8" i="13" s="1"/>
  <c r="BB236" i="2"/>
  <c r="AJ236" i="2"/>
  <c r="AD237" i="2"/>
  <c r="AD252" i="2" s="1"/>
  <c r="AV237" i="2"/>
  <c r="AV252" i="2" s="1"/>
  <c r="BU238" i="2"/>
  <c r="C7" i="13"/>
  <c r="C19" i="13" s="1"/>
  <c r="K31" i="13" s="1"/>
  <c r="Q31" i="13" s="1"/>
  <c r="O156" i="2"/>
  <c r="BP238" i="2"/>
  <c r="BZ238" i="2" s="1"/>
  <c r="BG43" i="2"/>
  <c r="BH43" i="2" s="1"/>
  <c r="BG35" i="2"/>
  <c r="Q77" i="2"/>
  <c r="S77" i="2"/>
  <c r="BG49" i="2" s="1"/>
  <c r="BC77" i="2"/>
  <c r="BG42" i="2" s="1"/>
  <c r="BH42" i="2" s="1"/>
  <c r="BP239" i="2"/>
  <c r="BU239" i="2"/>
  <c r="BR239" i="2"/>
  <c r="BM236" i="2"/>
  <c r="L38" i="2"/>
  <c r="BM242" i="2"/>
  <c r="N241" i="2"/>
  <c r="BH46" i="2"/>
  <c r="BG55" i="2"/>
  <c r="BR235" i="2"/>
  <c r="BU235" i="2"/>
  <c r="BP235" i="2"/>
  <c r="BU237" i="2"/>
  <c r="BP237" i="2"/>
  <c r="BR237" i="2"/>
  <c r="BP240" i="2"/>
  <c r="BR240" i="2"/>
  <c r="BU240" i="2"/>
  <c r="BR225" i="2"/>
  <c r="BU225" i="2"/>
  <c r="BP225" i="2"/>
  <c r="BZ225" i="2" s="1"/>
  <c r="BH49" i="2" l="1"/>
  <c r="AJ252" i="2"/>
  <c r="N259" i="2" s="1"/>
  <c r="BB252" i="2"/>
  <c r="N264" i="2" s="1"/>
  <c r="A264" i="2" s="1"/>
  <c r="I259" i="2"/>
  <c r="I264" i="2"/>
  <c r="N263" i="2"/>
  <c r="A263" i="2" s="1"/>
  <c r="I263" i="2"/>
  <c r="N258" i="2"/>
  <c r="I258" i="2"/>
  <c r="BV238" i="2"/>
  <c r="BZ235" i="2"/>
  <c r="C25" i="13"/>
  <c r="K37" i="13"/>
  <c r="Q36" i="13" s="1"/>
  <c r="BZ240" i="2"/>
  <c r="CD240" i="2" s="1"/>
  <c r="BZ237" i="2"/>
  <c r="BZ239" i="2"/>
  <c r="CD239" i="2" s="1"/>
  <c r="BG59" i="2"/>
  <c r="BH59" i="2" s="1"/>
  <c r="BV225" i="2"/>
  <c r="N242" i="2"/>
  <c r="BN236" i="2"/>
  <c r="BU236" i="2" s="1"/>
  <c r="BM241" i="2"/>
  <c r="BX239" i="2"/>
  <c r="BV239" i="2"/>
  <c r="Q71" i="2"/>
  <c r="R71" i="2"/>
  <c r="Q70" i="2"/>
  <c r="S70" i="2" s="1"/>
  <c r="BH35" i="2"/>
  <c r="BG60" i="2"/>
  <c r="BG61" i="2"/>
  <c r="BH61" i="2" s="1"/>
  <c r="BX240" i="2"/>
  <c r="BV240" i="2"/>
  <c r="BV237" i="2"/>
  <c r="BV235" i="2"/>
  <c r="BH55" i="2"/>
  <c r="C82" i="2"/>
  <c r="H156" i="2"/>
  <c r="J156" i="2"/>
  <c r="N156" i="2" s="1"/>
  <c r="BH48" i="2"/>
  <c r="P61" i="2" l="1"/>
  <c r="O61" i="2"/>
  <c r="N61" i="2"/>
  <c r="CC61" i="2"/>
  <c r="E266" i="2"/>
  <c r="O267" i="2"/>
  <c r="H79" i="2"/>
  <c r="A156" i="2" s="1"/>
  <c r="A158" i="2" s="1"/>
  <c r="BV236" i="2"/>
  <c r="BV241" i="2" s="1"/>
  <c r="BX236" i="2"/>
  <c r="BU241" i="2"/>
  <c r="L39" i="2"/>
  <c r="B7" i="13"/>
  <c r="B19" i="13" s="1"/>
  <c r="CE242" i="2"/>
  <c r="N78" i="2"/>
  <c r="O78" i="2"/>
  <c r="O109" i="2" s="1"/>
  <c r="L157" i="2" s="1"/>
  <c r="P78" i="2"/>
  <c r="P109" i="2" s="1"/>
  <c r="M157" i="2" s="1"/>
  <c r="L30" i="12"/>
  <c r="I45" i="12" s="1"/>
  <c r="I50" i="12" s="1"/>
  <c r="CC242" i="2"/>
  <c r="CB242" i="2"/>
  <c r="CD242" i="2"/>
  <c r="BH60" i="2"/>
  <c r="P82" i="2"/>
  <c r="BR236" i="2"/>
  <c r="BR241" i="2" s="1"/>
  <c r="BS229" i="2" s="1"/>
  <c r="BP236" i="2"/>
  <c r="BN241" i="2"/>
  <c r="CD61" i="2" l="1"/>
  <c r="R61" i="2"/>
  <c r="I61" i="2"/>
  <c r="M61" i="2" s="1"/>
  <c r="M78" i="2" s="1"/>
  <c r="M109" i="2" s="1"/>
  <c r="L229" i="2"/>
  <c r="BW231" i="2"/>
  <c r="BX231" i="2" s="1"/>
  <c r="BW229" i="2"/>
  <c r="BS231" i="2"/>
  <c r="BW238" i="2"/>
  <c r="BX238" i="2" s="1"/>
  <c r="K160" i="2"/>
  <c r="O160" i="2" s="1"/>
  <c r="O168" i="2" s="1"/>
  <c r="O169" i="2" s="1"/>
  <c r="J160" i="2"/>
  <c r="J168" i="2" s="1"/>
  <c r="M160" i="2"/>
  <c r="Q160" i="2" s="1"/>
  <c r="L160" i="2"/>
  <c r="P160" i="2" s="1"/>
  <c r="BW235" i="2"/>
  <c r="BX235" i="2" s="1"/>
  <c r="BW237" i="2"/>
  <c r="BX237" i="2" s="1"/>
  <c r="BW225" i="2"/>
  <c r="BX225" i="2" s="1"/>
  <c r="M158" i="2"/>
  <c r="Q157" i="2"/>
  <c r="Q158" i="2" s="1"/>
  <c r="L158" i="2"/>
  <c r="P157" i="2"/>
  <c r="P158" i="2" s="1"/>
  <c r="BS240" i="2"/>
  <c r="BS237" i="2"/>
  <c r="BS239" i="2"/>
  <c r="BS225" i="2"/>
  <c r="BS236" i="2"/>
  <c r="BY236" i="2" s="1"/>
  <c r="BS235" i="2"/>
  <c r="BS238" i="2"/>
  <c r="X59" i="12"/>
  <c r="Y59" i="12" s="1"/>
  <c r="C5" i="13"/>
  <c r="J29" i="13" s="1"/>
  <c r="N109" i="2"/>
  <c r="B25" i="13"/>
  <c r="K7" i="13"/>
  <c r="BZ236" i="2"/>
  <c r="BP241" i="2"/>
  <c r="B5" i="13"/>
  <c r="J5" i="13" s="1"/>
  <c r="AH229" i="2" l="1"/>
  <c r="AZ229" i="2"/>
  <c r="BX229" i="2"/>
  <c r="BY229" i="2"/>
  <c r="BY231" i="2"/>
  <c r="L231" i="2"/>
  <c r="V125" i="2"/>
  <c r="J157" i="2"/>
  <c r="T125" i="2" s="1"/>
  <c r="T146" i="2"/>
  <c r="V146" i="2"/>
  <c r="S146" i="2"/>
  <c r="T138" i="2"/>
  <c r="T143" i="2"/>
  <c r="K157" i="2"/>
  <c r="U125" i="2" s="1"/>
  <c r="V138" i="2"/>
  <c r="V143" i="2"/>
  <c r="U143" i="2"/>
  <c r="J164" i="2"/>
  <c r="K164" i="2"/>
  <c r="C11" i="13" s="1"/>
  <c r="J35" i="13" s="1"/>
  <c r="Q35" i="13" s="1"/>
  <c r="O181" i="2"/>
  <c r="K168" i="2"/>
  <c r="M162" i="2"/>
  <c r="P162" i="2"/>
  <c r="N160" i="2"/>
  <c r="N181" i="2" s="1"/>
  <c r="Q162" i="2"/>
  <c r="L162" i="2"/>
  <c r="BY235" i="2"/>
  <c r="CA235" i="2" s="1"/>
  <c r="L235" i="2"/>
  <c r="BX241" i="2"/>
  <c r="BW241" i="2"/>
  <c r="L236" i="2"/>
  <c r="BY238" i="2"/>
  <c r="CA238" i="2" s="1"/>
  <c r="L238" i="2"/>
  <c r="BY237" i="2"/>
  <c r="CA237" i="2" s="1"/>
  <c r="L237" i="2"/>
  <c r="BY239" i="2"/>
  <c r="CA239" i="2" s="1"/>
  <c r="L239" i="2"/>
  <c r="BY240" i="2"/>
  <c r="CA240" i="2" s="1"/>
  <c r="L240" i="2"/>
  <c r="CA236" i="2"/>
  <c r="Q7" i="13"/>
  <c r="K13" i="13"/>
  <c r="BY225" i="2"/>
  <c r="L225" i="2"/>
  <c r="BS241" i="2"/>
  <c r="J12" i="13"/>
  <c r="Q5" i="13"/>
  <c r="BZ241" i="2"/>
  <c r="CD229" i="2" s="1"/>
  <c r="J36" i="13"/>
  <c r="Q29" i="13"/>
  <c r="J167" i="2" l="1"/>
  <c r="CA229" i="2"/>
  <c r="CD231" i="2"/>
  <c r="CA231" i="2"/>
  <c r="U157" i="2"/>
  <c r="T160" i="2"/>
  <c r="J158" i="2"/>
  <c r="T158" i="2" s="1"/>
  <c r="N157" i="2"/>
  <c r="N158" i="2" s="1"/>
  <c r="N162" i="2" s="1"/>
  <c r="U161" i="2"/>
  <c r="T157" i="2"/>
  <c r="T156" i="2"/>
  <c r="O157" i="2"/>
  <c r="O164" i="2" s="1"/>
  <c r="U156" i="2"/>
  <c r="J169" i="2"/>
  <c r="U160" i="2"/>
  <c r="K158" i="2"/>
  <c r="K162" i="2" s="1"/>
  <c r="T126" i="2"/>
  <c r="K169" i="2"/>
  <c r="CD237" i="2"/>
  <c r="CD238" i="2"/>
  <c r="U138" i="2"/>
  <c r="U146" i="2"/>
  <c r="T148" i="2" s="1"/>
  <c r="AZ236" i="2"/>
  <c r="AZ252" i="2" s="1"/>
  <c r="AH236" i="2"/>
  <c r="AH252" i="2" s="1"/>
  <c r="AT237" i="2"/>
  <c r="AT252" i="2" s="1"/>
  <c r="AB237" i="2"/>
  <c r="AB252" i="2" s="1"/>
  <c r="N168" i="2"/>
  <c r="N169" i="2" s="1"/>
  <c r="S169" i="2" s="1"/>
  <c r="CD236" i="2"/>
  <c r="CD235" i="2"/>
  <c r="CD225" i="2"/>
  <c r="K167" i="2"/>
  <c r="J37" i="13"/>
  <c r="B11" i="13"/>
  <c r="J11" i="13" s="1"/>
  <c r="L241" i="2"/>
  <c r="L242" i="2" s="1"/>
  <c r="Q12" i="13"/>
  <c r="K15" i="13"/>
  <c r="O15" i="13" s="1"/>
  <c r="O33" i="13"/>
  <c r="O34" i="13"/>
  <c r="O32" i="13"/>
  <c r="K39" i="13"/>
  <c r="O39" i="13" s="1"/>
  <c r="O31" i="13"/>
  <c r="O10" i="13"/>
  <c r="O8" i="13"/>
  <c r="O7" i="13"/>
  <c r="O9" i="13"/>
  <c r="CA225" i="2"/>
  <c r="BY241" i="2"/>
  <c r="J162" i="2" l="1"/>
  <c r="J180" i="2"/>
  <c r="J183" i="2" s="1"/>
  <c r="J184" i="2" s="1"/>
  <c r="CC229" i="2"/>
  <c r="CB229" i="2"/>
  <c r="CC231" i="2"/>
  <c r="CB231" i="2"/>
  <c r="CA241" i="2"/>
  <c r="N164" i="2"/>
  <c r="N167" i="2" s="1"/>
  <c r="O167" i="2"/>
  <c r="O158" i="2"/>
  <c r="O162" i="2" s="1"/>
  <c r="K180" i="2"/>
  <c r="K183" i="2" s="1"/>
  <c r="K184" i="2" s="1"/>
  <c r="U158" i="2"/>
  <c r="L259" i="2"/>
  <c r="G259" i="2"/>
  <c r="L264" i="2"/>
  <c r="G264" i="2"/>
  <c r="L263" i="2"/>
  <c r="G263" i="2"/>
  <c r="L258" i="2"/>
  <c r="G258" i="2"/>
  <c r="B169" i="2"/>
  <c r="CD241" i="2"/>
  <c r="N29" i="13"/>
  <c r="Q37" i="13"/>
  <c r="N37" i="13"/>
  <c r="N38" i="13" s="1"/>
  <c r="O38" i="13" s="1"/>
  <c r="N35" i="13"/>
  <c r="L40" i="13"/>
  <c r="N30" i="13"/>
  <c r="K40" i="13"/>
  <c r="N180" i="2"/>
  <c r="N183" i="2" s="1"/>
  <c r="Q11" i="13"/>
  <c r="J13" i="13"/>
  <c r="O37" i="13"/>
  <c r="CC237" i="2"/>
  <c r="CC235" i="2"/>
  <c r="CC240" i="2"/>
  <c r="CB239" i="2"/>
  <c r="CB238" i="2"/>
  <c r="CC239" i="2"/>
  <c r="CB237" i="2"/>
  <c r="CC236" i="2"/>
  <c r="CB235" i="2"/>
  <c r="CC238" i="2"/>
  <c r="CC225" i="2"/>
  <c r="CB225" i="2"/>
  <c r="CB236" i="2"/>
  <c r="CB240" i="2"/>
  <c r="U162" i="2"/>
  <c r="K166" i="2"/>
  <c r="O13" i="13"/>
  <c r="T162" i="2"/>
  <c r="J166" i="2"/>
  <c r="N166" i="2" s="1"/>
  <c r="CE231" i="2" l="1"/>
  <c r="CF231" i="2" s="1"/>
  <c r="CG231" i="2" s="1"/>
  <c r="M231" i="2" s="1"/>
  <c r="CE229" i="2"/>
  <c r="CF229" i="2" s="1"/>
  <c r="CG229" i="2" s="1"/>
  <c r="M229" i="2" s="1"/>
  <c r="O180" i="2"/>
  <c r="O183" i="2" s="1"/>
  <c r="O40" i="13"/>
  <c r="CE240" i="2"/>
  <c r="CF240" i="2" s="1"/>
  <c r="CG240" i="2" s="1"/>
  <c r="M240" i="2" s="1"/>
  <c r="H166" i="2"/>
  <c r="X58" i="12" s="1"/>
  <c r="O166" i="2"/>
  <c r="N6" i="13"/>
  <c r="Q13" i="13"/>
  <c r="L16" i="13"/>
  <c r="N5" i="13"/>
  <c r="N13" i="13"/>
  <c r="N14" i="13" s="1"/>
  <c r="O14" i="13" s="1"/>
  <c r="O16" i="13" s="1"/>
  <c r="N36" i="13"/>
  <c r="K16" i="13"/>
  <c r="N11" i="13"/>
  <c r="N12" i="13"/>
  <c r="CE236" i="2"/>
  <c r="CF236" i="2" s="1"/>
  <c r="CG236" i="2" s="1"/>
  <c r="M236" i="2" s="1"/>
  <c r="CC241" i="2"/>
  <c r="CE235" i="2"/>
  <c r="CF235" i="2" s="1"/>
  <c r="CG235" i="2" s="1"/>
  <c r="M235" i="2" s="1"/>
  <c r="CE237" i="2"/>
  <c r="CF237" i="2" s="1"/>
  <c r="CG237" i="2" s="1"/>
  <c r="M237" i="2" s="1"/>
  <c r="CE238" i="2"/>
  <c r="CF238" i="2" s="1"/>
  <c r="CG238" i="2" s="1"/>
  <c r="M238" i="2" s="1"/>
  <c r="CB241" i="2"/>
  <c r="CE225" i="2"/>
  <c r="CE239" i="2"/>
  <c r="CF239" i="2" s="1"/>
  <c r="CG239" i="2" s="1"/>
  <c r="M239" i="2" s="1"/>
  <c r="BA229" i="2" l="1"/>
  <c r="AI229" i="2"/>
  <c r="Y58" i="12"/>
  <c r="H55" i="12" s="1"/>
  <c r="B55" i="12" s="1"/>
  <c r="AI236" i="2"/>
  <c r="BA236" i="2"/>
  <c r="AU237" i="2"/>
  <c r="AU252" i="2" s="1"/>
  <c r="AC237" i="2"/>
  <c r="AC252" i="2" s="1"/>
  <c r="CE241" i="2"/>
  <c r="CF225" i="2"/>
  <c r="BA252" i="2" l="1"/>
  <c r="M264" i="2" s="1"/>
  <c r="AI252" i="2"/>
  <c r="M259" i="2" s="1"/>
  <c r="CF241" i="2"/>
  <c r="H264" i="2"/>
  <c r="H259" i="2"/>
  <c r="M263" i="2"/>
  <c r="H263" i="2"/>
  <c r="M258" i="2"/>
  <c r="H258" i="2"/>
  <c r="CG225" i="2"/>
  <c r="CG241" i="2" s="1"/>
  <c r="M225" i="2" l="1"/>
  <c r="M241" i="2" s="1"/>
  <c r="M242" i="2" s="1"/>
  <c r="M17" i="12"/>
  <c r="M24" i="12" s="1"/>
  <c r="G47" i="12" l="1"/>
  <c r="G50" i="12" s="1"/>
  <c r="E44" i="12"/>
  <c r="E50" i="12" s="1"/>
  <c r="H25" i="12" l="1"/>
  <c r="H50" i="12"/>
  <c r="H54" i="12" s="1"/>
  <c r="N50" i="12"/>
  <c r="N55" i="12" s="1"/>
  <c r="J50" i="12"/>
  <c r="L50" i="12"/>
  <c r="L54" i="12" l="1"/>
  <c r="G94" i="12"/>
  <c r="B54" i="12"/>
  <c r="F93" i="12"/>
  <c r="F94" i="12"/>
  <c r="O50" i="12"/>
  <c r="N54" i="12"/>
  <c r="G93" i="12" s="1"/>
  <c r="H96" i="12" l="1"/>
  <c r="H97" i="12"/>
  <c r="H98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lbbaff</author>
    <author>gregor</author>
    <author>Gregor Affolter</author>
  </authors>
  <commentList>
    <comment ref="J14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 xml:space="preserve">Vollmist
</t>
        </r>
        <r>
          <rPr>
            <sz val="8"/>
            <color indexed="81"/>
            <rFont val="Tahoma"/>
            <family val="2"/>
          </rPr>
          <t xml:space="preserve">Aufstallungssysteme </t>
        </r>
        <r>
          <rPr>
            <b/>
            <sz val="8"/>
            <color indexed="81"/>
            <rFont val="Tahoma"/>
            <family val="2"/>
          </rPr>
          <t>ohne</t>
        </r>
        <r>
          <rPr>
            <sz val="8"/>
            <color indexed="81"/>
            <rFont val="Tahoma"/>
            <family val="2"/>
          </rPr>
          <t xml:space="preserve"> Gülleanfall (d.h. aller Harn ist im Mist)
</t>
        </r>
      </text>
    </comment>
    <comment ref="U16" authorId="0" shapeId="0" xr:uid="{00000000-0006-0000-0200-000002000000}">
      <text>
        <r>
          <rPr>
            <sz val="9"/>
            <color indexed="81"/>
            <rFont val="Arial Narrow"/>
            <family val="2"/>
          </rPr>
          <t xml:space="preserve"> Angabe für die Berechnung der Grösse "</t>
        </r>
        <r>
          <rPr>
            <b/>
            <sz val="9"/>
            <color indexed="81"/>
            <rFont val="Arial Narrow"/>
            <family val="2"/>
          </rPr>
          <t>Kraftfutter pro Kuh</t>
        </r>
        <r>
          <rPr>
            <sz val="9"/>
            <color indexed="81"/>
            <rFont val="Arial Narrow"/>
            <family val="2"/>
          </rPr>
          <t xml:space="preserve">": 
 gemäss Definition können nebst der Sömmerung auch </t>
        </r>
        <r>
          <rPr>
            <b/>
            <u/>
            <sz val="9"/>
            <color indexed="81"/>
            <rFont val="Arial Narrow"/>
            <family val="2"/>
          </rPr>
          <t>andere Abwesenheiten</t>
        </r>
        <r>
          <rPr>
            <sz val="9"/>
            <color indexed="81"/>
            <rFont val="Arial Narrow"/>
            <family val="2"/>
          </rPr>
          <t xml:space="preserve"> (z.B. Ausstellung, Markt, Tierklinik) berücksichtigt werden 
      weil: Kraftfutter pro Kuh = Kraftfutter-Menge Betrieb dividiert durch Anzahl gehaltener Milchkühe (</t>
        </r>
        <r>
          <rPr>
            <u/>
            <sz val="9"/>
            <color indexed="81"/>
            <rFont val="Arial Narrow"/>
            <family val="2"/>
          </rPr>
          <t>ohne Abzug</t>
        </r>
        <r>
          <rPr>
            <sz val="9"/>
            <color indexed="81"/>
            <rFont val="Arial Narrow"/>
            <family val="2"/>
          </rPr>
          <t>)     
 -&gt; hier können diese anderen Abwesenheiten gemäss TVD eingetragen werden 
 -&gt;</t>
        </r>
        <r>
          <rPr>
            <i/>
            <sz val="9"/>
            <color indexed="12"/>
            <rFont val="Arial Narrow"/>
            <family val="2"/>
          </rPr>
          <t xml:space="preserve"> Die Sömmerung ist im Blatt "GMF" einzutragen, nicht hier. 
</t>
        </r>
      </text>
    </comment>
    <comment ref="Y16" authorId="0" shapeId="0" xr:uid="{00000000-0006-0000-0200-000003000000}">
      <text>
        <r>
          <rPr>
            <u/>
            <sz val="9"/>
            <color indexed="81"/>
            <rFont val="Arial Narrow"/>
            <family val="2"/>
          </rPr>
          <t xml:space="preserve">wird für Berechnung verwendet: </t>
        </r>
        <r>
          <rPr>
            <sz val="9"/>
            <color indexed="81"/>
            <rFont val="Arial Narrow"/>
            <family val="2"/>
          </rPr>
          <t xml:space="preserve">
Kraftfutter pro Kuh =  
KF total Betrieb / </t>
        </r>
        <r>
          <rPr>
            <sz val="9"/>
            <color indexed="12"/>
            <rFont val="Arial Narrow"/>
            <family val="2"/>
          </rPr>
          <t xml:space="preserve">Anz. Kühe (ohne Abzug) </t>
        </r>
        <r>
          <rPr>
            <sz val="9"/>
            <color indexed="81"/>
            <rFont val="Arial Narrow"/>
            <family val="2"/>
          </rPr>
          <t xml:space="preserve">
</t>
        </r>
      </text>
    </comment>
    <comment ref="AZ16" authorId="1" shapeId="0" xr:uid="{00000000-0006-0000-0200-000004000000}">
      <text>
        <r>
          <rPr>
            <b/>
            <sz val="9"/>
            <color indexed="81"/>
            <rFont val="Arial Narrow"/>
            <family val="2"/>
          </rPr>
          <t xml:space="preserve">massgebend 
 =  Betrieb 
    + Sö (im GMF eintragen)
    + Abwesenheit Nicht-Sö 
(BLW/qualinova 2018)
</t>
        </r>
      </text>
    </comment>
    <comment ref="BA16" authorId="1" shapeId="0" xr:uid="{00000000-0006-0000-0200-000005000000}">
      <text>
        <r>
          <rPr>
            <b/>
            <sz val="9"/>
            <color indexed="81"/>
            <rFont val="Arial Narrow"/>
            <family val="2"/>
          </rPr>
          <t xml:space="preserve">massgebend = nur Betrieb 
dh. </t>
        </r>
        <r>
          <rPr>
            <b/>
            <u/>
            <sz val="9"/>
            <color indexed="81"/>
            <rFont val="Arial Narrow"/>
            <family val="2"/>
          </rPr>
          <t>ohne</t>
        </r>
        <r>
          <rPr>
            <b/>
            <sz val="9"/>
            <color indexed="81"/>
            <rFont val="Arial Narrow"/>
            <family val="2"/>
          </rPr>
          <t xml:space="preserve"> Sö, </t>
        </r>
        <r>
          <rPr>
            <b/>
            <u/>
            <sz val="9"/>
            <color indexed="81"/>
            <rFont val="Arial Narrow"/>
            <family val="2"/>
          </rPr>
          <t>ohne</t>
        </r>
        <r>
          <rPr>
            <b/>
            <sz val="9"/>
            <color indexed="81"/>
            <rFont val="Arial Narrow"/>
            <family val="2"/>
          </rPr>
          <t xml:space="preserve"> Abwesenheit Nicht-Sö 
(BLW/qualinova 2018)</t>
        </r>
      </text>
    </comment>
    <comment ref="D18" authorId="0" shapeId="0" xr:uid="{00000000-0006-0000-0200-000006000000}">
      <text>
        <r>
          <rPr>
            <b/>
            <sz val="10"/>
            <color indexed="81"/>
            <rFont val="Arial Narrow"/>
            <family val="2"/>
          </rPr>
          <t xml:space="preserve"> Menge Kraftfutter für die Kühe im Jahr eingeben in dt
   </t>
        </r>
        <r>
          <rPr>
            <b/>
            <i/>
            <sz val="8"/>
            <color indexed="81"/>
            <rFont val="Arial Narrow"/>
            <family val="2"/>
          </rPr>
          <t>(nur Betrieb, ohne Sömmerung  -&gt;  Sö im GMF erfassen)</t>
        </r>
        <r>
          <rPr>
            <b/>
            <i/>
            <sz val="9"/>
            <color indexed="81"/>
            <rFont val="Arial Narrow"/>
            <family val="2"/>
          </rPr>
          <t xml:space="preserve"> </t>
        </r>
        <r>
          <rPr>
            <b/>
            <sz val="10"/>
            <color indexed="81"/>
            <rFont val="Arial Narrow"/>
            <family val="2"/>
          </rPr>
          <t xml:space="preserve">
  100 kg = 1 dt  ;  1 t = 10 dt </t>
        </r>
      </text>
    </comment>
    <comment ref="E18" authorId="0" shapeId="0" xr:uid="{00000000-0006-0000-0200-000007000000}">
      <text>
        <r>
          <rPr>
            <sz val="9"/>
            <color indexed="81"/>
            <rFont val="Arial Narrow"/>
            <family val="2"/>
          </rPr>
          <t>KF-Menge Betrieb (= ohne  KF-Menge während der Sömmerung) 
dividiert durch Kuhzahl (ohne Abzug)</t>
        </r>
      </text>
    </comment>
    <comment ref="U18" authorId="0" shapeId="0" xr:uid="{00000000-0006-0000-0200-000008000000}">
      <text>
        <r>
          <rPr>
            <sz val="9"/>
            <color indexed="81"/>
            <rFont val="Arial Narrow"/>
            <family val="2"/>
          </rPr>
          <t xml:space="preserve">
Hier "ja" wählen, falls Kühe abwesend waren (ohne Sömmerung) 
</t>
        </r>
        <r>
          <rPr>
            <i/>
            <sz val="9"/>
            <color indexed="12"/>
            <rFont val="Arial Narrow"/>
            <family val="2"/>
          </rPr>
          <t xml:space="preserve"> Die Sömmerung ist im Blatt "GMF" einzutragen, nicht hier. </t>
        </r>
      </text>
    </comment>
    <comment ref="V18" authorId="0" shapeId="0" xr:uid="{00000000-0006-0000-0200-000009000000}">
      <text>
        <r>
          <rPr>
            <sz val="9"/>
            <color indexed="81"/>
            <rFont val="Arial Narrow"/>
            <family val="2"/>
          </rPr>
          <t xml:space="preserve">
Hier kann die Anzahl Tiere mit Abwesenheit (ohne Sömmerung) eingetragen werden
</t>
        </r>
        <r>
          <rPr>
            <i/>
            <sz val="9"/>
            <color indexed="12"/>
            <rFont val="Arial Narrow"/>
            <family val="2"/>
          </rPr>
          <t xml:space="preserve"> Die Sömmerung ist im Blatt "GMF" einzutragen, nicht hier. </t>
        </r>
      </text>
    </comment>
    <comment ref="W18" authorId="0" shapeId="0" xr:uid="{00000000-0006-0000-0200-00000A000000}">
      <text>
        <r>
          <rPr>
            <sz val="9"/>
            <color indexed="81"/>
            <rFont val="Arial Narrow"/>
            <family val="2"/>
          </rPr>
          <t xml:space="preserve">
Hier kann die Anzahl Tage Abwesenheit (ohne Sömmerung) pro Tier eingetragen werden
</t>
        </r>
        <r>
          <rPr>
            <i/>
            <sz val="9"/>
            <color indexed="12"/>
            <rFont val="Arial Narrow"/>
            <family val="2"/>
          </rPr>
          <t xml:space="preserve"> Die Sömmerung ist im Blatt "GMF" einzutragen, nicht hier. </t>
        </r>
      </text>
    </comment>
    <comment ref="D28" authorId="2" shapeId="0" xr:uid="{00000000-0006-0000-0200-00000B000000}">
      <text>
        <r>
          <rPr>
            <b/>
            <sz val="9"/>
            <color indexed="81"/>
            <rFont val="Arial Narrow"/>
            <family val="2"/>
          </rPr>
          <t xml:space="preserve">Masttageszuwachs (g/Tag) </t>
        </r>
        <r>
          <rPr>
            <b/>
            <sz val="8"/>
            <color indexed="81"/>
            <rFont val="Arial Narrow"/>
            <family val="2"/>
          </rPr>
          <t xml:space="preserve">
</t>
        </r>
        <r>
          <rPr>
            <sz val="8"/>
            <color indexed="81"/>
            <rFont val="Arial Narrow"/>
            <family val="2"/>
          </rPr>
          <t xml:space="preserve">  &gt; Zuwachs ab Beginn der Mastphase  </t>
        </r>
        <r>
          <rPr>
            <sz val="3"/>
            <color indexed="81"/>
            <rFont val="Arial Narrow"/>
            <family val="2"/>
          </rPr>
          <t xml:space="preserve">
  </t>
        </r>
        <r>
          <rPr>
            <sz val="8"/>
            <color indexed="81"/>
            <rFont val="Arial Narrow"/>
            <family val="2"/>
          </rPr>
          <t xml:space="preserve"> &gt; Kontrollmöglichkeit: 
       = 1396 + 3.19 x Ausstall-LG (kg) - 4.29 x Schlachtalter (d) 
</t>
        </r>
      </text>
    </comment>
    <comment ref="E28" authorId="2" shapeId="0" xr:uid="{00000000-0006-0000-0200-00000C000000}">
      <text>
        <r>
          <rPr>
            <sz val="8"/>
            <color indexed="81"/>
            <rFont val="Arial Narrow"/>
            <family val="2"/>
          </rPr>
          <t>Gültigkeitsbereich:   400-580 kg Ausstall-LG.</t>
        </r>
        <r>
          <rPr>
            <sz val="3"/>
            <color indexed="81"/>
            <rFont val="Arial Narrow"/>
            <family val="2"/>
          </rPr>
          <t xml:space="preserve">
</t>
        </r>
        <r>
          <rPr>
            <sz val="8"/>
            <color indexed="81"/>
            <rFont val="Arial Narrow"/>
            <family val="2"/>
          </rPr>
          <t xml:space="preserve">Angabe- und Kontrollmöglichkeit nach SG:
</t>
        </r>
        <r>
          <rPr>
            <b/>
            <sz val="8"/>
            <color indexed="81"/>
            <rFont val="Arial Narrow"/>
            <family val="2"/>
          </rPr>
          <t xml:space="preserve">      Ausstall-LG (kg) = SG (kg) / 0.566 </t>
        </r>
      </text>
    </comment>
    <comment ref="U28" authorId="2" shapeId="0" xr:uid="{00000000-0006-0000-0200-00000D000000}">
      <text>
        <r>
          <rPr>
            <b/>
            <sz val="9"/>
            <color indexed="81"/>
            <rFont val="Arial Narrow"/>
            <family val="2"/>
          </rPr>
          <t xml:space="preserve">
    Schlachtalter </t>
        </r>
        <r>
          <rPr>
            <sz val="9"/>
            <color indexed="81"/>
            <rFont val="Arial Narrow"/>
            <family val="2"/>
          </rPr>
          <t xml:space="preserve">
     in Tagen
  </t>
        </r>
      </text>
    </comment>
    <comment ref="V28" authorId="2" shapeId="0" xr:uid="{00000000-0006-0000-0200-00000E000000}">
      <text>
        <r>
          <rPr>
            <b/>
            <sz val="9"/>
            <color indexed="81"/>
            <rFont val="Arial Narrow"/>
            <family val="2"/>
          </rPr>
          <t xml:space="preserve">Schlachtgewicht (kg)  </t>
        </r>
        <r>
          <rPr>
            <sz val="9"/>
            <color indexed="81"/>
            <rFont val="Arial Narrow"/>
            <family val="2"/>
          </rPr>
          <t xml:space="preserve">
zum Vergleich der Angabe des Ausstall-LG</t>
        </r>
      </text>
    </comment>
    <comment ref="W28" authorId="2" shapeId="0" xr:uid="{00000000-0006-0000-0200-00000F000000}">
      <text>
        <r>
          <rPr>
            <b/>
            <sz val="9"/>
            <color indexed="81"/>
            <rFont val="Arial Narrow"/>
            <family val="2"/>
          </rPr>
          <t xml:space="preserve">Mast-Tageszuwachs (g/Tag) 
</t>
        </r>
        <r>
          <rPr>
            <sz val="9"/>
            <color indexed="81"/>
            <rFont val="Arial Narrow"/>
            <family val="2"/>
          </rPr>
          <t xml:space="preserve">berechnet nach </t>
        </r>
        <r>
          <rPr>
            <b/>
            <sz val="9"/>
            <color indexed="81"/>
            <rFont val="Arial Narrow"/>
            <family val="2"/>
          </rPr>
          <t>Ausstall-LG</t>
        </r>
        <r>
          <rPr>
            <sz val="9"/>
            <color indexed="81"/>
            <rFont val="Arial Narrow"/>
            <family val="2"/>
          </rPr>
          <t xml:space="preserve"> und </t>
        </r>
        <r>
          <rPr>
            <b/>
            <sz val="9"/>
            <color indexed="81"/>
            <rFont val="Arial Narrow"/>
            <family val="2"/>
          </rPr>
          <t>Schlacht-Alter</t>
        </r>
        <r>
          <rPr>
            <sz val="9"/>
            <color indexed="81"/>
            <rFont val="Arial Narrow"/>
            <family val="2"/>
          </rPr>
          <t xml:space="preserve">
 = 1396 + 3.19 x Ausstall-LG (kg) - 4.29 x Schlachtalter (Tage) </t>
        </r>
        <r>
          <rPr>
            <b/>
            <sz val="9"/>
            <color indexed="81"/>
            <rFont val="Arial Narrow"/>
            <family val="2"/>
          </rPr>
          <t xml:space="preserve">
 </t>
        </r>
        <r>
          <rPr>
            <sz val="9"/>
            <color indexed="33"/>
            <rFont val="Arial Narrow"/>
            <family val="2"/>
          </rPr>
          <t>&gt; wenn Abweichung, dann Angabe M-TZW oder Schlachtalter/Ausstall-LG 
       überprüfen und anpassen</t>
        </r>
      </text>
    </comment>
    <comment ref="Y28" authorId="2" shapeId="0" xr:uid="{00000000-0006-0000-0200-000010000000}">
      <text>
        <r>
          <rPr>
            <b/>
            <sz val="8"/>
            <color indexed="81"/>
            <rFont val="Arial Narrow"/>
            <family val="2"/>
          </rPr>
          <t xml:space="preserve">Berechnung des Ausstall-LG </t>
        </r>
        <r>
          <rPr>
            <sz val="8"/>
            <color indexed="81"/>
            <rFont val="Arial Narrow"/>
            <family val="2"/>
          </rPr>
          <t xml:space="preserve">
Ausstall-LG (kg) = SG (kg) / 0.566  </t>
        </r>
        <r>
          <rPr>
            <sz val="6"/>
            <color indexed="81"/>
            <rFont val="Arial Narrow"/>
            <family val="2"/>
          </rPr>
          <t>(Proviande, 2016)</t>
        </r>
        <r>
          <rPr>
            <sz val="8"/>
            <color indexed="81"/>
            <rFont val="Arial Narrow"/>
            <family val="2"/>
          </rPr>
          <t xml:space="preserve"> 
</t>
        </r>
        <r>
          <rPr>
            <sz val="8"/>
            <color indexed="33"/>
            <rFont val="Arial Narrow"/>
            <family val="2"/>
          </rPr>
          <t xml:space="preserve"> &gt; wenn Abweichung, dann Angabe LG und/oder SG
            überprüfen und anpassen</t>
        </r>
      </text>
    </comment>
    <comment ref="AZ28" authorId="2" shapeId="0" xr:uid="{00000000-0006-0000-0200-000011000000}">
      <text>
        <r>
          <rPr>
            <b/>
            <sz val="9"/>
            <color indexed="81"/>
            <rFont val="Segoe UI"/>
            <family val="2"/>
          </rPr>
          <t xml:space="preserve">Abweichung zur Referenz (=1400 g)
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A28" authorId="2" shapeId="0" xr:uid="{00000000-0006-0000-0200-000012000000}">
      <text>
        <r>
          <rPr>
            <b/>
            <sz val="9"/>
            <color indexed="81"/>
            <rFont val="Segoe UI"/>
            <family val="2"/>
          </rPr>
          <t>Abweichung zur Referenz (= 530 kg Ausstall-LG)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B28" authorId="2" shapeId="0" xr:uid="{00000000-0006-0000-0200-000013000000}">
      <text>
        <r>
          <rPr>
            <b/>
            <sz val="9"/>
            <color indexed="81"/>
            <rFont val="Arial Narrow"/>
            <family val="2"/>
          </rPr>
          <t xml:space="preserve">Mast-Tageszuwachs (g/Tag) 
berechnet nach 
  &gt; Ausstall-LG </t>
        </r>
        <r>
          <rPr>
            <sz val="9"/>
            <color indexed="81"/>
            <rFont val="Arial Narrow"/>
            <family val="2"/>
          </rPr>
          <t xml:space="preserve">und </t>
        </r>
        <r>
          <rPr>
            <b/>
            <sz val="9"/>
            <color indexed="81"/>
            <rFont val="Arial Narrow"/>
            <family val="2"/>
          </rPr>
          <t xml:space="preserve">
  &gt; Schlacht-Alter 
</t>
        </r>
      </text>
    </comment>
    <comment ref="BD28" authorId="2" shapeId="0" xr:uid="{00000000-0006-0000-0200-000014000000}">
      <text>
        <r>
          <rPr>
            <b/>
            <sz val="8"/>
            <color indexed="81"/>
            <rFont val="Arial Narrow"/>
            <family val="2"/>
          </rPr>
          <t xml:space="preserve">Berechnung des Ausstall-LG </t>
        </r>
        <r>
          <rPr>
            <sz val="8"/>
            <color indexed="81"/>
            <rFont val="Arial Narrow"/>
            <family val="2"/>
          </rPr>
          <t xml:space="preserve">
Ausstall-LG (kg) = SG (kg) / 0.566 
(Proviande, 2016) 
</t>
        </r>
      </text>
    </comment>
    <comment ref="G29" authorId="0" shapeId="0" xr:uid="{00000000-0006-0000-0200-000015000000}">
      <text>
        <r>
          <rPr>
            <b/>
            <sz val="8"/>
            <color indexed="81"/>
            <rFont val="Arial Narrow"/>
            <family val="2"/>
          </rPr>
          <t xml:space="preserve">Laufhof </t>
        </r>
        <r>
          <rPr>
            <sz val="8"/>
            <color indexed="81"/>
            <rFont val="Arial Narrow"/>
            <family val="2"/>
          </rPr>
          <t xml:space="preserve">- Anzahl Tage im Laufhof eintragen ( -&gt; N-Abzug)
               - Tage mit mehr als 12 h Weide nicht als Laufhoftage anrechnen 
</t>
        </r>
        <r>
          <rPr>
            <sz val="8"/>
            <color indexed="12"/>
            <rFont val="Arial Narrow"/>
            <family val="2"/>
          </rPr>
          <t xml:space="preserve">Geflügel:  - </t>
        </r>
        <r>
          <rPr>
            <b/>
            <sz val="8"/>
            <color indexed="12"/>
            <rFont val="Arial Narrow"/>
            <family val="2"/>
          </rPr>
          <t>Aussenklimabereich</t>
        </r>
        <r>
          <rPr>
            <sz val="8"/>
            <color indexed="12"/>
            <rFont val="Arial Narrow"/>
            <family val="2"/>
          </rPr>
          <t xml:space="preserve"> gilt als Teil des Gebäudes (Stall) -&gt; </t>
        </r>
        <r>
          <rPr>
            <b/>
            <sz val="8"/>
            <color indexed="12"/>
            <rFont val="Arial Narrow"/>
            <family val="2"/>
          </rPr>
          <t>nicht</t>
        </r>
        <r>
          <rPr>
            <sz val="8"/>
            <color indexed="12"/>
            <rFont val="Arial Narrow"/>
            <family val="2"/>
          </rPr>
          <t xml:space="preserve"> als Laufhoftage anrechenbar
                - nur Anz. Tage mit Auslauf ausserhalb Stall eintragen 
                - Mastpoulets: max. 180 Laufhof-Tage im Jahr (Küken zuerst im Stall)</t>
        </r>
      </text>
    </comment>
    <comment ref="BC29" authorId="2" shapeId="0" xr:uid="{00000000-0006-0000-0200-000016000000}">
      <text>
        <r>
          <rPr>
            <sz val="9"/>
            <color indexed="81"/>
            <rFont val="Arial Narrow"/>
            <family val="2"/>
          </rPr>
          <t xml:space="preserve">Abweichung von der Angabe bei der Tierkategorie 
</t>
        </r>
      </text>
    </comment>
    <comment ref="BE29" authorId="2" shapeId="0" xr:uid="{00000000-0006-0000-0200-000017000000}">
      <text>
        <r>
          <rPr>
            <sz val="9"/>
            <color indexed="81"/>
            <rFont val="Arial Narrow"/>
            <family val="2"/>
          </rPr>
          <t xml:space="preserve">Abweichung von der Angabe bei der Tierkategorie 
</t>
        </r>
      </text>
    </comment>
    <comment ref="B30" authorId="0" shapeId="0" xr:uid="{00000000-0006-0000-0200-000018000000}">
      <text>
        <r>
          <rPr>
            <sz val="9"/>
            <color indexed="12"/>
            <rFont val="Arial Narrow"/>
            <family val="2"/>
          </rPr>
          <t xml:space="preserve">In dieser Spalte jeweils die Tierkategorie aus der Liste auswählen.
</t>
        </r>
      </text>
    </comment>
    <comment ref="G30" authorId="0" shapeId="0" xr:uid="{00000000-0006-0000-0200-000019000000}">
      <text>
        <r>
          <rPr>
            <b/>
            <sz val="8"/>
            <color indexed="81"/>
            <rFont val="Arial Narrow"/>
            <family val="2"/>
          </rPr>
          <t xml:space="preserve">Laufhof </t>
        </r>
        <r>
          <rPr>
            <sz val="8"/>
            <color indexed="81"/>
            <rFont val="Arial Narrow"/>
            <family val="2"/>
          </rPr>
          <t xml:space="preserve">- Anzahl Tage im Laufhof eintragen ( -&gt; N-Abzug)
               - Tage mit mehr als 12 h Weide nicht als Laufhoftage anrechnen 
</t>
        </r>
        <r>
          <rPr>
            <sz val="8"/>
            <color indexed="12"/>
            <rFont val="Arial Narrow"/>
            <family val="2"/>
          </rPr>
          <t xml:space="preserve">Geflügel:  - </t>
        </r>
        <r>
          <rPr>
            <b/>
            <sz val="8"/>
            <color indexed="12"/>
            <rFont val="Arial Narrow"/>
            <family val="2"/>
          </rPr>
          <t>Aussenklimabereich</t>
        </r>
        <r>
          <rPr>
            <sz val="8"/>
            <color indexed="12"/>
            <rFont val="Arial Narrow"/>
            <family val="2"/>
          </rPr>
          <t xml:space="preserve"> gilt als Teil des Gebäudes (Stall) -&gt; </t>
        </r>
        <r>
          <rPr>
            <b/>
            <sz val="8"/>
            <color indexed="12"/>
            <rFont val="Arial Narrow"/>
            <family val="2"/>
          </rPr>
          <t>nicht</t>
        </r>
        <r>
          <rPr>
            <sz val="8"/>
            <color indexed="12"/>
            <rFont val="Arial Narrow"/>
            <family val="2"/>
          </rPr>
          <t xml:space="preserve"> als Laufhoftage anrechenbar
                - nur Anz. Tage mit Auslauf ausserhalb Stall eintragen 
                - Mastpoulets: max. 180 Laufhof-Tage im Jahr (Küken zuerst im Stall)</t>
        </r>
      </text>
    </comment>
    <comment ref="G31" authorId="0" shapeId="0" xr:uid="{00000000-0006-0000-0200-00001A000000}">
      <text>
        <r>
          <rPr>
            <b/>
            <sz val="8"/>
            <color indexed="81"/>
            <rFont val="Arial Narrow"/>
            <family val="2"/>
          </rPr>
          <t xml:space="preserve">Laufhof </t>
        </r>
        <r>
          <rPr>
            <sz val="8"/>
            <color indexed="81"/>
            <rFont val="Arial Narrow"/>
            <family val="2"/>
          </rPr>
          <t xml:space="preserve">- Anzahl Tage im Laufhof eintragen ( -&gt; N-Abzug)
               - Tage mit mehr als 12 h Weide nicht als Laufhoftage anrechnen 
</t>
        </r>
        <r>
          <rPr>
            <sz val="8"/>
            <color indexed="12"/>
            <rFont val="Arial Narrow"/>
            <family val="2"/>
          </rPr>
          <t xml:space="preserve">Geflügel:  - </t>
        </r>
        <r>
          <rPr>
            <b/>
            <sz val="8"/>
            <color indexed="12"/>
            <rFont val="Arial Narrow"/>
            <family val="2"/>
          </rPr>
          <t>Aussenklimabereich</t>
        </r>
        <r>
          <rPr>
            <sz val="8"/>
            <color indexed="12"/>
            <rFont val="Arial Narrow"/>
            <family val="2"/>
          </rPr>
          <t xml:space="preserve"> gilt als Teil des Gebäudes (Stall) -&gt; </t>
        </r>
        <r>
          <rPr>
            <b/>
            <sz val="8"/>
            <color indexed="12"/>
            <rFont val="Arial Narrow"/>
            <family val="2"/>
          </rPr>
          <t>nicht</t>
        </r>
        <r>
          <rPr>
            <sz val="8"/>
            <color indexed="12"/>
            <rFont val="Arial Narrow"/>
            <family val="2"/>
          </rPr>
          <t xml:space="preserve"> als Laufhoftage anrechenbar
                - nur Anz. Tage mit Auslauf ausserhalb Stall eintragen 
                - Mastpoulets: max. 180 Laufhof-Tage im Jahr (Küken zuerst im Stall)</t>
        </r>
      </text>
    </comment>
    <comment ref="G32" authorId="0" shapeId="0" xr:uid="{00000000-0006-0000-0200-00001B000000}">
      <text>
        <r>
          <rPr>
            <b/>
            <sz val="8"/>
            <color indexed="81"/>
            <rFont val="Arial Narrow"/>
            <family val="2"/>
          </rPr>
          <t xml:space="preserve">Laufhof </t>
        </r>
        <r>
          <rPr>
            <sz val="8"/>
            <color indexed="81"/>
            <rFont val="Arial Narrow"/>
            <family val="2"/>
          </rPr>
          <t xml:space="preserve">- Anzahl Tage im Laufhof eintragen ( -&gt; N-Abzug)
               - Tage mit mehr als 12 h Weide nicht als Laufhoftage anrechnen 
</t>
        </r>
        <r>
          <rPr>
            <sz val="8"/>
            <color indexed="12"/>
            <rFont val="Arial Narrow"/>
            <family val="2"/>
          </rPr>
          <t xml:space="preserve">Geflügel:  - </t>
        </r>
        <r>
          <rPr>
            <b/>
            <sz val="8"/>
            <color indexed="12"/>
            <rFont val="Arial Narrow"/>
            <family val="2"/>
          </rPr>
          <t>Aussenklimabereich</t>
        </r>
        <r>
          <rPr>
            <sz val="8"/>
            <color indexed="12"/>
            <rFont val="Arial Narrow"/>
            <family val="2"/>
          </rPr>
          <t xml:space="preserve"> gilt als Teil des Gebäudes (Stall) -&gt; </t>
        </r>
        <r>
          <rPr>
            <b/>
            <sz val="8"/>
            <color indexed="12"/>
            <rFont val="Arial Narrow"/>
            <family val="2"/>
          </rPr>
          <t>nicht</t>
        </r>
        <r>
          <rPr>
            <sz val="8"/>
            <color indexed="12"/>
            <rFont val="Arial Narrow"/>
            <family val="2"/>
          </rPr>
          <t xml:space="preserve"> als Laufhoftage anrechenbar
                - nur Anz. Tage mit Auslauf ausserhalb Stall eintragen 
                - Mastpoulets: max. 180 Laufhof-Tage im Jahr (Küken zuerst im Stall)</t>
        </r>
      </text>
    </comment>
    <comment ref="G33" authorId="0" shapeId="0" xr:uid="{00000000-0006-0000-0200-00001C000000}">
      <text>
        <r>
          <rPr>
            <b/>
            <sz val="8"/>
            <color indexed="81"/>
            <rFont val="Arial Narrow"/>
            <family val="2"/>
          </rPr>
          <t xml:space="preserve">Laufhof </t>
        </r>
        <r>
          <rPr>
            <sz val="8"/>
            <color indexed="81"/>
            <rFont val="Arial Narrow"/>
            <family val="2"/>
          </rPr>
          <t xml:space="preserve">- Anzahl Tage im Laufhof eintragen ( -&gt; N-Abzug)
               - Tage mit mehr als 12 h Weide nicht als Laufhoftage anrechnen 
</t>
        </r>
        <r>
          <rPr>
            <sz val="8"/>
            <color indexed="12"/>
            <rFont val="Arial Narrow"/>
            <family val="2"/>
          </rPr>
          <t xml:space="preserve">Geflügel:  - </t>
        </r>
        <r>
          <rPr>
            <b/>
            <sz val="8"/>
            <color indexed="12"/>
            <rFont val="Arial Narrow"/>
            <family val="2"/>
          </rPr>
          <t>Aussenklimabereich</t>
        </r>
        <r>
          <rPr>
            <sz val="8"/>
            <color indexed="12"/>
            <rFont val="Arial Narrow"/>
            <family val="2"/>
          </rPr>
          <t xml:space="preserve"> gilt als Teil des Gebäudes (Stall) -&gt; </t>
        </r>
        <r>
          <rPr>
            <b/>
            <sz val="8"/>
            <color indexed="12"/>
            <rFont val="Arial Narrow"/>
            <family val="2"/>
          </rPr>
          <t>nicht</t>
        </r>
        <r>
          <rPr>
            <sz val="8"/>
            <color indexed="12"/>
            <rFont val="Arial Narrow"/>
            <family val="2"/>
          </rPr>
          <t xml:space="preserve"> als Laufhoftage anrechenbar
                - nur Anz. Tage mit Auslauf ausserhalb Stall eintragen 
                - Mastpoulets: max. 180 Laufhof-Tage im Jahr (Küken zuerst im Stall)</t>
        </r>
      </text>
    </comment>
    <comment ref="G34" authorId="0" shapeId="0" xr:uid="{00000000-0006-0000-0200-00001D000000}">
      <text>
        <r>
          <rPr>
            <b/>
            <sz val="8"/>
            <color indexed="81"/>
            <rFont val="Arial Narrow"/>
            <family val="2"/>
          </rPr>
          <t xml:space="preserve">Laufhof </t>
        </r>
        <r>
          <rPr>
            <sz val="8"/>
            <color indexed="81"/>
            <rFont val="Arial Narrow"/>
            <family val="2"/>
          </rPr>
          <t xml:space="preserve">- Anzahl Tage im Laufhof eintragen ( -&gt; N-Abzug)
               - Tage mit mehr als 12 h Weide nicht als Laufhoftage anrechnen 
</t>
        </r>
        <r>
          <rPr>
            <sz val="8"/>
            <color indexed="12"/>
            <rFont val="Arial Narrow"/>
            <family val="2"/>
          </rPr>
          <t xml:space="preserve">Geflügel:  - </t>
        </r>
        <r>
          <rPr>
            <b/>
            <sz val="8"/>
            <color indexed="12"/>
            <rFont val="Arial Narrow"/>
            <family val="2"/>
          </rPr>
          <t>Aussenklimabereich</t>
        </r>
        <r>
          <rPr>
            <sz val="8"/>
            <color indexed="12"/>
            <rFont val="Arial Narrow"/>
            <family val="2"/>
          </rPr>
          <t xml:space="preserve"> gilt als Teil des Gebäudes (Stall) -&gt; </t>
        </r>
        <r>
          <rPr>
            <b/>
            <sz val="8"/>
            <color indexed="12"/>
            <rFont val="Arial Narrow"/>
            <family val="2"/>
          </rPr>
          <t>nicht</t>
        </r>
        <r>
          <rPr>
            <sz val="8"/>
            <color indexed="12"/>
            <rFont val="Arial Narrow"/>
            <family val="2"/>
          </rPr>
          <t xml:space="preserve"> als Laufhoftage anrechenbar
                - nur Anz. Tage mit Auslauf ausserhalb Stall eintragen 
                - Mastpoulets: max. 180 Laufhof-Tage im Jahr (Küken zuerst im Stall)</t>
        </r>
      </text>
    </comment>
    <comment ref="F44" authorId="0" shapeId="0" xr:uid="{00000000-0006-0000-0200-00001E000000}">
      <text>
        <r>
          <rPr>
            <sz val="9"/>
            <color indexed="12"/>
            <rFont val="Arial Narrow"/>
            <family val="2"/>
          </rPr>
          <t xml:space="preserve">keine direkte Eingabe möglich, sondern Gewicht an Frisch-Substanz und TS-Gehalt in den Spalten </t>
        </r>
        <r>
          <rPr>
            <b/>
            <sz val="9"/>
            <color indexed="12"/>
            <rFont val="Arial Narrow"/>
            <family val="2"/>
          </rPr>
          <t>weiter links</t>
        </r>
        <r>
          <rPr>
            <sz val="9"/>
            <color indexed="12"/>
            <rFont val="Arial Narrow"/>
            <family val="2"/>
          </rPr>
          <t xml:space="preserve"> eingeben. </t>
        </r>
        <r>
          <rPr>
            <b/>
            <sz val="9"/>
            <color indexed="57"/>
            <rFont val="Arial Narrow"/>
            <family val="2"/>
          </rPr>
          <t>Wegfuhren mit negativem Vorzeichen eintragen</t>
        </r>
        <r>
          <rPr>
            <sz val="9"/>
            <color indexed="12"/>
            <rFont val="Arial Narrow"/>
            <family val="2"/>
          </rPr>
          <t xml:space="preserve">. </t>
        </r>
      </text>
    </comment>
    <comment ref="G44" authorId="0" shapeId="0" xr:uid="{00000000-0006-0000-0200-00001F000000}">
      <text>
        <r>
          <rPr>
            <sz val="9"/>
            <color indexed="12"/>
            <rFont val="Arial Narrow"/>
            <family val="2"/>
          </rPr>
          <t xml:space="preserve">keine direkte Eingabe möglich, sondern Gewicht an Frisch-Substanz und TS-Gehalt in den Spalten </t>
        </r>
        <r>
          <rPr>
            <b/>
            <sz val="9"/>
            <color indexed="12"/>
            <rFont val="Arial Narrow"/>
            <family val="2"/>
          </rPr>
          <t>weiter links</t>
        </r>
        <r>
          <rPr>
            <sz val="9"/>
            <color indexed="12"/>
            <rFont val="Arial Narrow"/>
            <family val="2"/>
          </rPr>
          <t xml:space="preserve"> eingeben.</t>
        </r>
      </text>
    </comment>
    <comment ref="B46" authorId="0" shapeId="0" xr:uid="{00000000-0006-0000-0200-000020000000}">
      <text>
        <r>
          <rPr>
            <sz val="9"/>
            <color indexed="12"/>
            <rFont val="Arial Narrow"/>
            <family val="2"/>
          </rPr>
          <t xml:space="preserve">zutreffende </t>
        </r>
        <r>
          <rPr>
            <b/>
            <sz val="9"/>
            <color indexed="12"/>
            <rFont val="Arial Narrow"/>
            <family val="2"/>
          </rPr>
          <t>Bezeichnung fürs Grundfutter</t>
        </r>
        <r>
          <rPr>
            <sz val="9"/>
            <color indexed="12"/>
            <rFont val="Arial Narrow"/>
            <family val="2"/>
          </rPr>
          <t xml:space="preserve"> aus Liste auswählen</t>
        </r>
      </text>
    </comment>
    <comment ref="D46" authorId="0" shapeId="0" xr:uid="{00000000-0006-0000-0200-000021000000}">
      <text>
        <r>
          <rPr>
            <sz val="9"/>
            <color indexed="12"/>
            <rFont val="Arial Narrow"/>
            <family val="2"/>
          </rPr>
          <t xml:space="preserve">Gewicht der </t>
        </r>
        <r>
          <rPr>
            <b/>
            <sz val="9"/>
            <color indexed="12"/>
            <rFont val="Arial Narrow"/>
            <family val="2"/>
          </rPr>
          <t xml:space="preserve">Frischsubstanz in dt </t>
        </r>
        <r>
          <rPr>
            <sz val="9"/>
            <color indexed="12"/>
            <rFont val="Arial Narrow"/>
            <family val="2"/>
          </rPr>
          <t>eingeben; 
f</t>
        </r>
        <r>
          <rPr>
            <b/>
            <sz val="9"/>
            <color indexed="12"/>
            <rFont val="Arial Narrow"/>
            <family val="2"/>
          </rPr>
          <t xml:space="preserve">alls </t>
        </r>
        <r>
          <rPr>
            <b/>
            <sz val="9"/>
            <color indexed="21"/>
            <rFont val="Arial Narrow"/>
            <family val="2"/>
          </rPr>
          <t>Wegfuhr</t>
        </r>
        <r>
          <rPr>
            <b/>
            <sz val="9"/>
            <color indexed="12"/>
            <rFont val="Arial Narrow"/>
            <family val="2"/>
          </rPr>
          <t xml:space="preserve">, dann </t>
        </r>
        <r>
          <rPr>
            <b/>
            <sz val="9"/>
            <color indexed="21"/>
            <rFont val="Arial Narrow"/>
            <family val="2"/>
          </rPr>
          <t>negatives Vorzeichen</t>
        </r>
        <r>
          <rPr>
            <b/>
            <sz val="9"/>
            <color indexed="12"/>
            <rFont val="Arial Narrow"/>
            <family val="2"/>
          </rPr>
          <t xml:space="preserve"> </t>
        </r>
        <r>
          <rPr>
            <sz val="9"/>
            <color indexed="12"/>
            <rFont val="Arial Narrow"/>
            <family val="2"/>
          </rPr>
          <t xml:space="preserve">verwenden. </t>
        </r>
      </text>
    </comment>
    <comment ref="E46" authorId="0" shapeId="0" xr:uid="{00000000-0006-0000-0200-000022000000}">
      <text>
        <r>
          <rPr>
            <sz val="9"/>
            <color indexed="12"/>
            <rFont val="Arial Narrow"/>
            <family val="2"/>
          </rPr>
          <t xml:space="preserve">den </t>
        </r>
        <r>
          <rPr>
            <b/>
            <sz val="9"/>
            <color indexed="12"/>
            <rFont val="Arial Narrow"/>
            <family val="2"/>
          </rPr>
          <t xml:space="preserve">Trockensubstanz-Gehalt </t>
        </r>
        <r>
          <rPr>
            <sz val="9"/>
            <color indexed="12"/>
            <rFont val="Arial Narrow"/>
            <family val="2"/>
          </rPr>
          <t xml:space="preserve">eingeben.
</t>
        </r>
      </text>
    </comment>
    <comment ref="F46" authorId="0" shapeId="0" xr:uid="{00000000-0006-0000-0200-000023000000}">
      <text>
        <r>
          <rPr>
            <sz val="9"/>
            <color indexed="12"/>
            <rFont val="Arial Narrow"/>
            <family val="2"/>
          </rPr>
          <t xml:space="preserve">keine direkte Eingabe möglich, sondern Gewicht an Frisch-Substanz und TS-Gehalt in den Spalten </t>
        </r>
        <r>
          <rPr>
            <b/>
            <sz val="9"/>
            <color indexed="12"/>
            <rFont val="Arial Narrow"/>
            <family val="2"/>
          </rPr>
          <t>weiter links</t>
        </r>
        <r>
          <rPr>
            <sz val="9"/>
            <color indexed="12"/>
            <rFont val="Arial Narrow"/>
            <family val="2"/>
          </rPr>
          <t xml:space="preserve"> eingeben. </t>
        </r>
        <r>
          <rPr>
            <b/>
            <sz val="9"/>
            <color indexed="57"/>
            <rFont val="Arial Narrow"/>
            <family val="2"/>
          </rPr>
          <t>Wegfuhren mit negativem Vorzeichen eintragen</t>
        </r>
        <r>
          <rPr>
            <sz val="9"/>
            <color indexed="12"/>
            <rFont val="Arial Narrow"/>
            <family val="2"/>
          </rPr>
          <t xml:space="preserve">. </t>
        </r>
      </text>
    </comment>
    <comment ref="G46" authorId="0" shapeId="0" xr:uid="{00000000-0006-0000-0200-000024000000}">
      <text>
        <r>
          <rPr>
            <sz val="9"/>
            <color indexed="12"/>
            <rFont val="Arial Narrow"/>
            <family val="2"/>
          </rPr>
          <t xml:space="preserve">keine direkte Eingabe möglich, sondern Gewicht an Frisch-Substanz und TS-Gehalt in den Spalten </t>
        </r>
        <r>
          <rPr>
            <b/>
            <sz val="9"/>
            <color indexed="12"/>
            <rFont val="Arial Narrow"/>
            <family val="2"/>
          </rPr>
          <t>weiter links</t>
        </r>
        <r>
          <rPr>
            <sz val="9"/>
            <color indexed="12"/>
            <rFont val="Arial Narrow"/>
            <family val="2"/>
          </rPr>
          <t xml:space="preserve"> eingeben.</t>
        </r>
      </text>
    </comment>
    <comment ref="J49" authorId="0" shapeId="0" xr:uid="{00000000-0006-0000-0200-000025000000}">
      <text>
        <r>
          <rPr>
            <sz val="9"/>
            <color indexed="12"/>
            <rFont val="Arial Narrow"/>
            <family val="2"/>
          </rPr>
          <t>zutreffendes  Grundfutter aus Liste auswählen</t>
        </r>
      </text>
    </comment>
    <comment ref="N52" authorId="2" shapeId="0" xr:uid="{00000000-0006-0000-0200-000026000000}">
      <text>
        <r>
          <rPr>
            <u/>
            <sz val="8"/>
            <color indexed="12"/>
            <rFont val="Arial Narrow"/>
            <family val="2"/>
          </rPr>
          <t>Lagerungs- und Krippenverluste</t>
        </r>
        <r>
          <rPr>
            <sz val="8"/>
            <color indexed="12"/>
            <rFont val="Arial Narrow"/>
            <family val="2"/>
          </rPr>
          <t xml:space="preserve">:  
geben Sie den Wert ein ( 0 bis max. 5%)  
</t>
        </r>
        <r>
          <rPr>
            <sz val="8"/>
            <color indexed="20"/>
            <rFont val="Arial Narrow"/>
            <family val="2"/>
          </rPr>
          <t xml:space="preserve"> (wenn viehloser Betrieb, dann keine Krippenverluste -&gt; max. 2.5%)</t>
        </r>
      </text>
    </comment>
    <comment ref="N53" authorId="2" shapeId="0" xr:uid="{00000000-0006-0000-0200-000027000000}">
      <text>
        <r>
          <rPr>
            <u/>
            <sz val="8"/>
            <color indexed="58"/>
            <rFont val="Arial Narrow"/>
            <family val="2"/>
          </rPr>
          <t xml:space="preserve">Fehlerbereich GF-Bilanz: </t>
        </r>
        <r>
          <rPr>
            <sz val="8"/>
            <color indexed="58"/>
            <rFont val="Arial Narrow"/>
            <family val="2"/>
          </rPr>
          <t xml:space="preserve">
geben Sie den Wert ein ( 0 bis max. 5%)  </t>
        </r>
      </text>
    </comment>
    <comment ref="B61" authorId="0" shapeId="0" xr:uid="{7D158AFA-5814-4113-B34E-733B4245C8CE}">
      <text>
        <r>
          <rPr>
            <sz val="9"/>
            <color indexed="12"/>
            <rFont val="Arial Narrow"/>
            <family val="2"/>
          </rPr>
          <t xml:space="preserve">In dieser Spalte jeweils die Kultur aus der Liste auswählen.
</t>
        </r>
      </text>
    </comment>
    <comment ref="G63" authorId="0" shapeId="0" xr:uid="{00000000-0006-0000-0200-000028000000}">
      <text>
        <r>
          <rPr>
            <sz val="9"/>
            <color indexed="81"/>
            <rFont val="Arial Narrow"/>
            <family val="2"/>
          </rPr>
          <t xml:space="preserve">
Ertrag ist fix mit 106 dt TS pro ha vorgegeben 
</t>
        </r>
      </text>
    </comment>
    <comment ref="G64" authorId="0" shapeId="0" xr:uid="{00000000-0006-0000-0200-000029000000}">
      <text>
        <r>
          <rPr>
            <sz val="9"/>
            <color indexed="81"/>
            <rFont val="Arial Narrow"/>
            <family val="2"/>
          </rPr>
          <t xml:space="preserve">
Ertrag ist fix mit 106 dt TS pro ha vorgegeben 
</t>
        </r>
      </text>
    </comment>
    <comment ref="G77" authorId="0" shapeId="0" xr:uid="{00000000-0006-0000-0200-00002A000000}">
      <text>
        <r>
          <rPr>
            <sz val="9"/>
            <color indexed="58"/>
            <rFont val="Arial Narrow"/>
            <family val="2"/>
          </rPr>
          <t xml:space="preserve">Der </t>
        </r>
        <r>
          <rPr>
            <b/>
            <sz val="9"/>
            <color indexed="58"/>
            <rFont val="Arial Narrow"/>
            <family val="2"/>
          </rPr>
          <t>mittlere Ertrag der intensiven Wiesen und Weiden</t>
        </r>
        <r>
          <rPr>
            <sz val="9"/>
            <color indexed="58"/>
            <rFont val="Arial Narrow"/>
            <family val="2"/>
          </rPr>
          <t xml:space="preserve"> wird </t>
        </r>
        <r>
          <rPr>
            <u/>
            <sz val="9"/>
            <color indexed="58"/>
            <rFont val="Arial Narrow"/>
            <family val="2"/>
          </rPr>
          <t>berechnet</t>
        </r>
        <r>
          <rPr>
            <sz val="9"/>
            <color indexed="58"/>
            <rFont val="Arial Narrow"/>
            <family val="2"/>
          </rPr>
          <t xml:space="preserve">: 
    GF-Produktion auf der Futterfläche (Formular B) abzüglich ... 
    - Erträge Silomais, Ganzpflanzen-Mais und Ganzpflanzen-Sorghum, Grünmais, Futterrüben, 
              Getreide-Ganzpflanzensilage  
    - Erträge Zwischenfutter  
    - Erträge betriebseigenes verfüttertes Stroh + Rübenblatt  
    - Erträge von extensiven Wiesen und Weiden, Wiesen mit Düngeverbot
   </t>
        </r>
        <r>
          <rPr>
            <u/>
            <sz val="9"/>
            <color indexed="58"/>
            <rFont val="Arial Narrow"/>
            <family val="2"/>
          </rPr>
          <t xml:space="preserve"> - Erträge von wenig und mittel intensiven Wiesen und Weiden                   </t>
        </r>
        <r>
          <rPr>
            <sz val="9"/>
            <color indexed="58"/>
            <rFont val="Arial Narrow"/>
            <family val="2"/>
          </rPr>
          <t xml:space="preserve">
    = Erträge der intensiven Wiesen und Weiden                                          
  </t>
        </r>
        <r>
          <rPr>
            <sz val="9"/>
            <color indexed="11"/>
            <rFont val="Arial Narrow"/>
            <family val="2"/>
          </rPr>
          <t xml:space="preserve"> </t>
        </r>
        <r>
          <rPr>
            <sz val="9"/>
            <color indexed="17"/>
            <rFont val="Arial Narrow"/>
            <family val="2"/>
          </rPr>
          <t xml:space="preserve"> :  dividiert durch Fläche der intensiven Wiesen und Weiden 
 </t>
        </r>
        <r>
          <rPr>
            <b/>
            <sz val="9"/>
            <color indexed="17"/>
            <rFont val="Arial Narrow"/>
            <family val="2"/>
          </rPr>
          <t xml:space="preserve">   = mittlerer Ertrag pro ha intensive Wiesen und Weiden</t>
        </r>
      </text>
    </comment>
    <comment ref="H77" authorId="0" shapeId="0" xr:uid="{00000000-0006-0000-0200-00002B000000}">
      <text>
        <r>
          <rPr>
            <b/>
            <sz val="9"/>
            <color indexed="58"/>
            <rFont val="Arial Narrow"/>
            <family val="2"/>
          </rPr>
          <t xml:space="preserve">Der Gesamt-Ertrag der intensiven Wiesen und Weiden wird </t>
        </r>
        <r>
          <rPr>
            <b/>
            <u/>
            <sz val="9"/>
            <color indexed="58"/>
            <rFont val="Arial Narrow"/>
            <family val="2"/>
          </rPr>
          <t>berechnet</t>
        </r>
        <r>
          <rPr>
            <b/>
            <sz val="9"/>
            <color indexed="58"/>
            <rFont val="Arial Narrow"/>
            <family val="2"/>
          </rPr>
          <t xml:space="preserve">: </t>
        </r>
        <r>
          <rPr>
            <sz val="9"/>
            <color indexed="58"/>
            <rFont val="Arial Narrow"/>
            <family val="2"/>
          </rPr>
          <t xml:space="preserve">
    GF-Produktion (dt TS) auf der Futterfläche (Formular B) abzüglich ... 
    - Erträge Silomais, Ganzpflanzen-Mais und Ganzpflanzen-Sorghum, Grünmais, Futterrüben, 
             Getreide-Ganzpflanzensilage   
    - Erträge Zwischenfutter  
    - Erträge betriebseigenes verfüttertes Stroh + Rübenblatt  
    - Erträge von extensiven Wiesen und Weiden, Wiesen mit Düngeverbot
  </t>
        </r>
        <r>
          <rPr>
            <u/>
            <sz val="9"/>
            <color indexed="58"/>
            <rFont val="Arial Narrow"/>
            <family val="2"/>
          </rPr>
          <t xml:space="preserve">  - Erträge von wenig und mittel intensiven Wiesen und Weiden                  </t>
        </r>
        <r>
          <rPr>
            <sz val="9"/>
            <color indexed="58"/>
            <rFont val="Arial Narrow"/>
            <family val="2"/>
          </rPr>
          <t xml:space="preserve">
  </t>
        </r>
        <r>
          <rPr>
            <b/>
            <sz val="9"/>
            <color indexed="58"/>
            <rFont val="Arial Narrow"/>
            <family val="2"/>
          </rPr>
          <t xml:space="preserve">  = Erträge der intensiven Wiesen und Weiden                                           </t>
        </r>
      </text>
    </comment>
    <comment ref="B90" authorId="0" shapeId="0" xr:uid="{00000000-0006-0000-0200-00002C000000}">
      <text>
        <r>
          <rPr>
            <sz val="9"/>
            <color indexed="12"/>
            <rFont val="Arial Narrow"/>
            <family val="2"/>
          </rPr>
          <t xml:space="preserve">In dieser Spalte jeweils die Kultur aus der Liste auswählen.
</t>
        </r>
      </text>
    </comment>
    <comment ref="J95" authorId="0" shapeId="0" xr:uid="{00000000-0006-0000-0200-00002D000000}">
      <text>
        <r>
          <rPr>
            <sz val="8"/>
            <color indexed="12"/>
            <rFont val="Arial Narrow"/>
            <family val="2"/>
          </rPr>
          <t xml:space="preserve">P-Korrekturfaktor - Gemüse: 
  - alle Gemüse mit Faktor 1 berechnen
        oder 
  - alle Gemüse mit effektivem Faktor gemäss
       Bodenanalyse eingeben ( 0 bis 1.5)
</t>
        </r>
      </text>
    </comment>
    <comment ref="K95" authorId="0" shapeId="0" xr:uid="{00000000-0006-0000-0200-00002E000000}">
      <text>
        <r>
          <rPr>
            <sz val="8"/>
            <color indexed="12"/>
            <rFont val="Arial Narrow"/>
            <family val="2"/>
          </rPr>
          <t xml:space="preserve">K-Korrekturfaktor 
  - Anpassung freiwillig 
</t>
        </r>
      </text>
    </comment>
    <comment ref="L95" authorId="0" shapeId="0" xr:uid="{00000000-0006-0000-0200-00002F000000}">
      <text>
        <r>
          <rPr>
            <sz val="8"/>
            <color indexed="12"/>
            <rFont val="Arial Narrow"/>
            <family val="2"/>
          </rPr>
          <t xml:space="preserve">Mg-Korrekturfaktor 
  - Anpassung freiwillig 
</t>
        </r>
      </text>
    </comment>
    <comment ref="J99" authorId="0" shapeId="0" xr:uid="{00000000-0006-0000-0200-000030000000}">
      <text>
        <r>
          <rPr>
            <sz val="9"/>
            <color indexed="12"/>
            <rFont val="Arial Narrow"/>
            <family val="2"/>
          </rPr>
          <t xml:space="preserve">P-Korrekturfaktor gemäss Bodenanalyse eingeben ( 0 bis 1.5)
</t>
        </r>
      </text>
    </comment>
    <comment ref="J102" authorId="0" shapeId="0" xr:uid="{00000000-0006-0000-0200-000031000000}">
      <text>
        <r>
          <rPr>
            <sz val="8"/>
            <color indexed="12"/>
            <rFont val="Arial Narrow"/>
            <family val="2"/>
          </rPr>
          <t xml:space="preserve">P-Korrekturfaktor - Gemüse: 
  - alle Gemüse mit Faktor 1 berechnen
        oder 
  - alle Gemüse mit effektivem Faktor gemäss
       Bodenanalyse eingeben ( 0 bis 1.5)
</t>
        </r>
      </text>
    </comment>
    <comment ref="F117" authorId="0" shapeId="0" xr:uid="{00000000-0006-0000-0200-000032000000}">
      <text>
        <r>
          <rPr>
            <sz val="8"/>
            <color indexed="81"/>
            <rFont val="Arial Narrow"/>
            <family val="2"/>
          </rPr>
          <t xml:space="preserve">
die Angabe "Einheit" dient nur der Informaiton, es erfolgen damit keine Umrechnungen, deshalb beim Nährstoffgehalt jeweils die richtige Anzahl kg pro "Einheit" eintragen </t>
        </r>
      </text>
    </comment>
    <comment ref="G117" authorId="0" shapeId="0" xr:uid="{00000000-0006-0000-0200-000033000000}">
      <text>
        <r>
          <rPr>
            <sz val="8"/>
            <color indexed="81"/>
            <rFont val="Arial Narrow"/>
            <family val="2"/>
          </rPr>
          <t xml:space="preserve">
 &gt; Menge Zufuhr als positive Zahl eintragen 
 &gt; Menge Wegfuhr als negative Zahl eintragen </t>
        </r>
      </text>
    </comment>
    <comment ref="G118" authorId="0" shapeId="0" xr:uid="{00000000-0006-0000-0200-000034000000}">
      <text>
        <r>
          <rPr>
            <sz val="8"/>
            <color indexed="81"/>
            <rFont val="Arial Narrow"/>
            <family val="2"/>
          </rPr>
          <t xml:space="preserve">
&gt; Menge Wegfuhr als negative Zahl eintragen 
 &gt; Menge Zufuhr als positive Zahl eintragen </t>
        </r>
      </text>
    </comment>
    <comment ref="I118" authorId="0" shapeId="0" xr:uid="{00000000-0006-0000-0200-000035000000}">
      <text>
        <r>
          <rPr>
            <b/>
            <sz val="8"/>
            <color indexed="81"/>
            <rFont val="Tahoma"/>
            <family val="2"/>
          </rPr>
          <t xml:space="preserve">Nverfügbar bei unvergorenem Hofdünger =
</t>
        </r>
        <r>
          <rPr>
            <sz val="8"/>
            <color indexed="81"/>
            <rFont val="Tahoma"/>
            <family val="2"/>
          </rPr>
          <t xml:space="preserve">Nges X betriebsspezifischer Ausnutzungsgrad 
(Berechnung automatisch, siehe Abschnitt F) </t>
        </r>
      </text>
    </comment>
    <comment ref="G126" authorId="2" shapeId="0" xr:uid="{00000000-0006-0000-0200-000036000000}">
      <text>
        <r>
          <rPr>
            <b/>
            <sz val="9"/>
            <color indexed="81"/>
            <rFont val="Arial Narrow"/>
            <family val="2"/>
          </rPr>
          <t xml:space="preserve">schleppschlauchobligatorische Fläche (SSOF)    </t>
        </r>
        <r>
          <rPr>
            <sz val="9"/>
            <color indexed="81"/>
            <rFont val="Arial Narrow"/>
            <family val="2"/>
          </rPr>
          <t xml:space="preserve"> -&gt; siehe Wegleitung 3.8  </t>
        </r>
        <r>
          <rPr>
            <b/>
            <sz val="9"/>
            <color indexed="81"/>
            <rFont val="Arial Narrow"/>
            <family val="2"/>
          </rPr>
          <t xml:space="preserve">
</t>
        </r>
        <r>
          <rPr>
            <sz val="9"/>
            <color indexed="81"/>
            <rFont val="Arial Narrow"/>
            <family val="2"/>
          </rPr>
          <t xml:space="preserve">Grundsätzlich die gesamte SSOF eintragen. Pro ha werden 6 kg Nverf angerechnet (entspricht 2 Gaben à 3 kg Nverf). 
Wird eine kleinere Fläche deklariert, ist diese plausibel herzuleiten und zu deklarieren (z.B. weiter oben unter Bemerkungen).
</t>
        </r>
      </text>
    </comment>
    <comment ref="I127" authorId="0" shapeId="0" xr:uid="{00000000-0006-0000-0200-000037000000}">
      <text>
        <r>
          <rPr>
            <sz val="8"/>
            <color indexed="81"/>
            <rFont val="Tahoma"/>
            <family val="2"/>
          </rPr>
          <t xml:space="preserve">Kompost: 10% von Nges
(bzw. nach Lieferschein) 
</t>
        </r>
      </text>
    </comment>
    <comment ref="I128" authorId="0" shapeId="0" xr:uid="{00000000-0006-0000-0200-000038000000}">
      <text>
        <r>
          <rPr>
            <sz val="8"/>
            <color indexed="81"/>
            <rFont val="Tahoma"/>
            <family val="2"/>
          </rPr>
          <t xml:space="preserve">Organische Handelsdünger:
70% von Nges
</t>
        </r>
      </text>
    </comment>
    <comment ref="I136" authorId="2" shapeId="0" xr:uid="{00000000-0006-0000-0200-000039000000}">
      <text>
        <r>
          <rPr>
            <b/>
            <sz val="9"/>
            <color indexed="81"/>
            <rFont val="Arial Narrow"/>
            <family val="2"/>
          </rPr>
          <t xml:space="preserve">Gärgut und flüssiges Gärgut
   </t>
        </r>
        <r>
          <rPr>
            <sz val="9"/>
            <color indexed="81"/>
            <rFont val="Arial Narrow"/>
            <family val="2"/>
          </rPr>
          <t xml:space="preserve">Nverf gemäss Hoduflu
   Nverf = Nlös + Norg X 0.25 
</t>
        </r>
      </text>
    </comment>
    <comment ref="G145" authorId="2" shapeId="0" xr:uid="{00000000-0006-0000-0200-00003A000000}">
      <text>
        <r>
          <rPr>
            <sz val="9"/>
            <color indexed="81"/>
            <rFont val="Arial Narrow"/>
            <family val="2"/>
          </rPr>
          <t xml:space="preserve">
&gt; Wegfuhr mit negativer Zahl eintragen 
&gt; Angabe in Tonnen</t>
        </r>
      </text>
    </comment>
    <comment ref="O150" authorId="2" shapeId="0" xr:uid="{00000000-0006-0000-0200-00003B000000}">
      <text>
        <r>
          <rPr>
            <sz val="9"/>
            <color indexed="81"/>
            <rFont val="Arial Narrow"/>
            <family val="2"/>
          </rPr>
          <t xml:space="preserve">Geben Sie den P-Fehlerbereich ein, der für Ihren Betrieb gilt ( 0% falls Verfügung vom Ldw.Amt, sonst 10% (bis 2023)) ; 
</t>
        </r>
        <r>
          <rPr>
            <sz val="9"/>
            <color indexed="10"/>
            <rFont val="Arial Narrow"/>
            <family val="2"/>
          </rPr>
          <t>ab 1.1.2024 gilt 0% für alle Betriebe</t>
        </r>
      </text>
    </comment>
    <comment ref="E258" authorId="2" shapeId="0" xr:uid="{00000000-0006-0000-0200-00003C000000}">
      <text>
        <r>
          <rPr>
            <sz val="9"/>
            <color indexed="81"/>
            <rFont val="Arial Narrow"/>
            <family val="2"/>
          </rPr>
          <t>Anzahl m3 Gülle pro Jahr eingeben
-&gt; Durchschnittsgehalt wird berechnet</t>
        </r>
      </text>
    </comment>
    <comment ref="E259" authorId="2" shapeId="0" xr:uid="{00000000-0006-0000-0200-00003D000000}">
      <text>
        <r>
          <rPr>
            <sz val="9"/>
            <color indexed="81"/>
            <rFont val="Arial Narrow"/>
            <family val="2"/>
          </rPr>
          <t>Anzahl m3 Gülle pro Jahr eingeben
-&gt; Durchschnittsgehalt wird berechnet</t>
        </r>
      </text>
    </comment>
    <comment ref="E260" authorId="2" shapeId="0" xr:uid="{00000000-0006-0000-0200-00003E000000}">
      <text>
        <r>
          <rPr>
            <sz val="9"/>
            <color indexed="81"/>
            <rFont val="Arial Narrow"/>
            <family val="2"/>
          </rPr>
          <t>Anzahl m3 Gülle pro Jahr eingeben
-&gt; Durchschnittsgehalt wird berechnet</t>
        </r>
      </text>
    </comment>
    <comment ref="D263" authorId="2" shapeId="0" xr:uid="{00000000-0006-0000-0200-00003F000000}">
      <text>
        <r>
          <rPr>
            <sz val="9"/>
            <color indexed="81"/>
            <rFont val="Arial Narrow"/>
            <family val="2"/>
          </rPr>
          <t xml:space="preserve">Einheit eingeben (z.B. t, m3, etc.
</t>
        </r>
      </text>
    </comment>
    <comment ref="E263" authorId="2" shapeId="0" xr:uid="{00000000-0006-0000-0200-000040000000}">
      <text>
        <r>
          <rPr>
            <sz val="9"/>
            <color indexed="81"/>
            <rFont val="Arial Narrow"/>
            <family val="2"/>
          </rPr>
          <t>Menge pro Jahr eingeben
-&gt; Durchschnittsgehalt wird berechnet</t>
        </r>
      </text>
    </comment>
    <comment ref="E264" authorId="2" shapeId="0" xr:uid="{00000000-0006-0000-0200-000041000000}">
      <text>
        <r>
          <rPr>
            <sz val="9"/>
            <color indexed="81"/>
            <rFont val="Arial Narrow"/>
            <family val="2"/>
          </rPr>
          <t>Menge pro Jahr eingeben
-&gt; Durchschnittsgehalt wird berechnet</t>
        </r>
      </text>
    </comment>
    <comment ref="E265" authorId="2" shapeId="0" xr:uid="{00000000-0006-0000-0200-000042000000}">
      <text>
        <r>
          <rPr>
            <sz val="9"/>
            <color indexed="81"/>
            <rFont val="Arial Narrow"/>
            <family val="2"/>
          </rPr>
          <t>Menge pro Jahr eingeben
-&gt; Durchschnittsgehalt wird berechnet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lbbaff</author>
  </authors>
  <commentList>
    <comment ref="I7" authorId="0" shapeId="0" xr:uid="{00000000-0006-0000-0300-000001000000}">
      <text>
        <r>
          <rPr>
            <sz val="10"/>
            <color indexed="12"/>
            <rFont val="Arial Narrow"/>
            <family val="2"/>
          </rPr>
          <t xml:space="preserve">Menge Kraftfutter pro Jahr eintragen (dt Frischsubstanz)
 100 kg = 1 dt   bzw.   1 t = 10 dt  </t>
        </r>
      </text>
    </comment>
    <comment ref="I9" authorId="0" shapeId="0" xr:uid="{00000000-0006-0000-0300-000002000000}">
      <text>
        <r>
          <rPr>
            <sz val="9"/>
            <color indexed="12"/>
            <rFont val="Arial Narrow"/>
            <family val="2"/>
          </rPr>
          <t xml:space="preserve"> FS = Frischsubstanz
  100 kg  =  1 dt 
  1 Tonne = 10 dt (Dezitonnen) </t>
        </r>
      </text>
    </comment>
    <comment ref="I11" authorId="0" shapeId="0" xr:uid="{00000000-0006-0000-0300-000003000000}">
      <text>
        <r>
          <rPr>
            <sz val="10"/>
            <color indexed="12"/>
            <rFont val="Arial Narrow"/>
            <family val="2"/>
          </rPr>
          <t xml:space="preserve">Menge, die in Suisse-Bilanz deklariert wurde 
(Blatt Suisse_Bilanz…)
</t>
        </r>
      </text>
    </comment>
    <comment ref="M11" authorId="0" shapeId="0" xr:uid="{00000000-0006-0000-0300-000004000000}">
      <text>
        <r>
          <rPr>
            <sz val="10"/>
            <color indexed="81"/>
            <rFont val="Arial Narrow"/>
            <family val="2"/>
          </rPr>
          <t xml:space="preserve">
GF-Vz-Kühe nach Leistung korrigiert, 
 jedoch ohne Korrektur für KF-Verzehr 
</t>
        </r>
      </text>
    </comment>
    <comment ref="V11" authorId="0" shapeId="0" xr:uid="{00000000-0006-0000-0300-000005000000}">
      <text>
        <r>
          <rPr>
            <sz val="9"/>
            <color indexed="81"/>
            <rFont val="Arial Narrow"/>
            <family val="2"/>
          </rPr>
          <t xml:space="preserve"> Formel direkt in Spalte M eingeben;
 nur nach Leistung korrigiert 
</t>
        </r>
      </text>
    </comment>
    <comment ref="X11" authorId="0" shapeId="0" xr:uid="{00000000-0006-0000-0300-000006000000}">
      <text>
        <r>
          <rPr>
            <sz val="9"/>
            <color indexed="12"/>
            <rFont val="Arial Narrow"/>
            <family val="2"/>
          </rPr>
          <t xml:space="preserve">keine Korrektur des GF-Verz.Sö, weil KF-Sö nach Sömmerungsverordnung beschränkt ist.
(BLW, mail 1.12.14)
</t>
        </r>
      </text>
    </comment>
    <comment ref="U25" authorId="0" shapeId="0" xr:uid="{00000000-0006-0000-0300-000007000000}">
      <text>
        <r>
          <rPr>
            <sz val="10"/>
            <color indexed="81"/>
            <rFont val="Tahoma"/>
            <family val="2"/>
          </rPr>
          <t xml:space="preserve">Anzahl Tierkategorien "GF" (übrige RF-Verzehrer)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lbbaff</author>
    <author>Gregor Affolter</author>
    <author>gregor</author>
  </authors>
  <commentList>
    <comment ref="Y1" authorId="0" shapeId="0" xr:uid="{00000000-0006-0000-0100-000001000000}">
      <text>
        <r>
          <rPr>
            <sz val="10"/>
            <color indexed="81"/>
            <rFont val="Tahoma"/>
            <family val="2"/>
          </rPr>
          <t xml:space="preserve">
 öLN oder BIO
</t>
        </r>
      </text>
    </comment>
    <comment ref="H3" authorId="0" shapeId="0" xr:uid="{00000000-0006-0000-0100-000002000000}">
      <text>
        <r>
          <rPr>
            <b/>
            <sz val="10"/>
            <color indexed="81"/>
            <rFont val="Tahoma"/>
            <family val="2"/>
          </rPr>
          <t xml:space="preserve">
 Referenz-Ertrag 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K54" authorId="1" shapeId="0" xr:uid="{00000000-0006-0000-0100-000003000000}">
      <text>
        <r>
          <rPr>
            <sz val="10"/>
            <color indexed="81"/>
            <rFont val="Arial Narrow"/>
            <family val="2"/>
          </rPr>
          <t>rechnerisch bedingt (Düngungsnorm - Stroh)</t>
        </r>
      </text>
    </comment>
    <comment ref="K61" authorId="1" shapeId="0" xr:uid="{00000000-0006-0000-0100-000004000000}">
      <text>
        <r>
          <rPr>
            <sz val="10"/>
            <color indexed="81"/>
            <rFont val="Arial Narrow"/>
            <family val="2"/>
          </rPr>
          <t>rechnerisch bedingt (Düngungsnorm - Stroh)</t>
        </r>
      </text>
    </comment>
    <comment ref="K62" authorId="1" shapeId="0" xr:uid="{00000000-0006-0000-0100-000005000000}">
      <text>
        <r>
          <rPr>
            <sz val="10"/>
            <color indexed="81"/>
            <rFont val="Arial Narrow"/>
            <family val="2"/>
          </rPr>
          <t>rechnerisch bedingt (Düngungsnorm - Stroh)</t>
        </r>
      </text>
    </comment>
    <comment ref="I286" authorId="0" shapeId="0" xr:uid="{00000000-0006-0000-0100-000006000000}">
      <text>
        <r>
          <rPr>
            <b/>
            <sz val="10"/>
            <color indexed="20"/>
            <rFont val="Arial"/>
            <family val="2"/>
          </rPr>
          <t xml:space="preserve">
Nges = N x (100% - unvermeidbare Verluste), gerundet 2 Kommastelle (BLW, 2020) 
unvermeidbare Verluste -&gt; vorhandener Nges: 
</t>
        </r>
        <r>
          <rPr>
            <sz val="10"/>
            <color indexed="20"/>
            <rFont val="Arial"/>
            <family val="2"/>
          </rPr>
          <t xml:space="preserve"> (Wegleitung Suisse-Bilanz 3.5) 
  -  Raufutterverzehrer und Kaninchen: 15% -&gt; Nges = N x 85%, 
     falls LSR (Laufstall Rindvieh): 20% -&gt; Nges = N x 80% 
  -  Schweine: 20% -&gt; Nges = N x 80% 
  -  Pferde: 30% -&gt; Nges = N x 70% 
  -  Legehennen (Kotgrube, Bodenhaltung): 50% -&gt; Nges = N x 50% 
  -  andere Legehennen:  30% -&gt; Nges = N x 70% 
  -  alle übrigen Geflügel: 40% -&gt; Nges = N x 60% 
</t>
        </r>
      </text>
    </comment>
    <comment ref="P294" authorId="0" shapeId="0" xr:uid="{00000000-0006-0000-0100-000007000000}">
      <text>
        <r>
          <rPr>
            <b/>
            <sz val="10"/>
            <color indexed="81"/>
            <rFont val="Tahoma"/>
            <family val="2"/>
          </rPr>
          <t xml:space="preserve">
nach LBV: 
   0.13 je Tier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P302" authorId="0" shapeId="0" xr:uid="{00000000-0006-0000-0100-000008000000}">
      <text>
        <r>
          <rPr>
            <b/>
            <sz val="10"/>
            <color indexed="81"/>
            <rFont val="Arial Narrow"/>
            <family val="2"/>
          </rPr>
          <t>365 d besetzter Platz</t>
        </r>
        <r>
          <rPr>
            <sz val="10"/>
            <color indexed="81"/>
            <rFont val="Arial Narrow"/>
            <family val="2"/>
          </rPr>
          <t xml:space="preserve">
</t>
        </r>
      </text>
    </comment>
    <comment ref="P303" authorId="0" shapeId="0" xr:uid="{00000000-0006-0000-0100-000009000000}">
      <text>
        <r>
          <rPr>
            <b/>
            <sz val="10"/>
            <color indexed="81"/>
            <rFont val="Arial Narrow"/>
            <family val="2"/>
          </rPr>
          <t>365 d besetzter Platz</t>
        </r>
        <r>
          <rPr>
            <sz val="10"/>
            <color indexed="81"/>
            <rFont val="Arial Narrow"/>
            <family val="2"/>
          </rPr>
          <t xml:space="preserve">
</t>
        </r>
      </text>
    </comment>
    <comment ref="P304" authorId="0" shapeId="0" xr:uid="{00000000-0006-0000-0100-00000A000000}">
      <text>
        <r>
          <rPr>
            <b/>
            <sz val="10"/>
            <color indexed="81"/>
            <rFont val="Arial Narrow"/>
            <family val="2"/>
          </rPr>
          <t>365 d besetzter Platz</t>
        </r>
        <r>
          <rPr>
            <sz val="10"/>
            <color indexed="81"/>
            <rFont val="Arial Narrow"/>
            <family val="2"/>
          </rPr>
          <t xml:space="preserve">
</t>
        </r>
      </text>
    </comment>
    <comment ref="P308" authorId="0" shapeId="0" xr:uid="{00000000-0006-0000-0100-00000B000000}">
      <text>
        <r>
          <rPr>
            <b/>
            <sz val="10"/>
            <color indexed="81"/>
            <rFont val="Arial Narrow"/>
            <family val="2"/>
          </rPr>
          <t>365 d besetzter Platz</t>
        </r>
        <r>
          <rPr>
            <sz val="10"/>
            <color indexed="81"/>
            <rFont val="Arial Narrow"/>
            <family val="2"/>
          </rPr>
          <t xml:space="preserve">
</t>
        </r>
      </text>
    </comment>
    <comment ref="F310" authorId="2" shapeId="0" xr:uid="{00000000-0006-0000-0100-00000C000000}">
      <text>
        <r>
          <rPr>
            <b/>
            <sz val="9"/>
            <color indexed="81"/>
            <rFont val="Arial Narrow"/>
            <family val="2"/>
          </rPr>
          <t>für Pferderassen &lt; 148 cm 
-&gt; siehe Wegleitung Suisse-Bilanz</t>
        </r>
        <r>
          <rPr>
            <sz val="9"/>
            <color indexed="81"/>
            <rFont val="Arial Narrow"/>
            <family val="2"/>
          </rPr>
          <t xml:space="preserve">
</t>
        </r>
      </text>
    </comment>
    <comment ref="P310" authorId="2" shapeId="0" xr:uid="{00000000-0006-0000-0100-00000D000000}">
      <text>
        <r>
          <rPr>
            <b/>
            <sz val="9"/>
            <color indexed="81"/>
            <rFont val="Arial Narrow"/>
            <family val="2"/>
          </rPr>
          <t xml:space="preserve">siehe LBV: 
&gt; 900 d  = 0.70 GVE </t>
        </r>
        <r>
          <rPr>
            <sz val="9"/>
            <color indexed="81"/>
            <rFont val="Arial Narrow"/>
            <family val="2"/>
          </rPr>
          <t xml:space="preserve">
</t>
        </r>
      </text>
    </comment>
    <comment ref="F311" authorId="2" shapeId="0" xr:uid="{00000000-0006-0000-0100-00000E000000}">
      <text>
        <r>
          <rPr>
            <b/>
            <sz val="9"/>
            <color indexed="81"/>
            <rFont val="Arial Narrow"/>
            <family val="2"/>
          </rPr>
          <t>für Pferderassen &lt; 148 cm 
-&gt; siehe Wegleitung Suisse-Bilanz</t>
        </r>
        <r>
          <rPr>
            <sz val="9"/>
            <color indexed="81"/>
            <rFont val="Arial Narrow"/>
            <family val="2"/>
          </rPr>
          <t xml:space="preserve">
</t>
        </r>
      </text>
    </comment>
    <comment ref="P313" authorId="0" shapeId="0" xr:uid="{00000000-0006-0000-0100-00000F000000}">
      <text>
        <r>
          <rPr>
            <b/>
            <sz val="11"/>
            <color indexed="81"/>
            <rFont val="Arial Narrow"/>
            <family val="2"/>
          </rPr>
          <t xml:space="preserve">nach LBV
 - bis 180 Tg. alt 0.15 GVE 
 - 181-900 Tg. alt 0.25 GVE 
 - über 900 Tg. alt 0.35 GVE 
</t>
        </r>
        <r>
          <rPr>
            <sz val="11"/>
            <color indexed="81"/>
            <rFont val="Arial Narrow"/>
            <family val="2"/>
          </rPr>
          <t xml:space="preserve">
</t>
        </r>
      </text>
    </comment>
    <comment ref="P315" authorId="0" shapeId="0" xr:uid="{00000000-0006-0000-0100-000010000000}">
      <text>
        <r>
          <rPr>
            <b/>
            <sz val="11"/>
            <color indexed="81"/>
            <rFont val="Arial Narrow"/>
            <family val="2"/>
          </rPr>
          <t xml:space="preserve">nach LBV, wenn &lt; 148 cm
 - bis 180 Tg. alt 0.15 GVE 
 - 181-900 Tg. alt 0.25 GVE 
 - über 900 Tg. alt 0.35 GVE 
</t>
        </r>
        <r>
          <rPr>
            <sz val="11"/>
            <color indexed="81"/>
            <rFont val="Arial Narrow"/>
            <family val="2"/>
          </rPr>
          <t xml:space="preserve">
</t>
        </r>
      </text>
    </comment>
    <comment ref="H337" authorId="0" shapeId="0" xr:uid="{00000000-0006-0000-0100-000011000000}">
      <text>
        <r>
          <rPr>
            <u/>
            <sz val="8"/>
            <color indexed="81"/>
            <rFont val="Arial Narrow"/>
            <family val="2"/>
          </rPr>
          <t>GF-Verzehr Mastschweine-Kat.</t>
        </r>
        <r>
          <rPr>
            <sz val="8"/>
            <color indexed="81"/>
            <rFont val="Arial Narrow"/>
            <family val="2"/>
          </rPr>
          <t xml:space="preserve">
-&gt;   0 - 0.34 dt GF pro Platz und Jahr möglich 
-&gt;   Nachweis der Menge mit I/E-Bilanz nötig 
-&gt;  nur Wiesenfutter, Ganzpflanzenmais und Getreide-Ganzpflanzensilage möglich  
 </t>
        </r>
        <r>
          <rPr>
            <b/>
            <sz val="8"/>
            <color indexed="81"/>
            <rFont val="Arial Narrow"/>
            <family val="2"/>
          </rPr>
          <t xml:space="preserve">-&gt; Total-Menge TS mit der I/E-Bilanz erfassen  
</t>
        </r>
      </text>
    </comment>
    <comment ref="H338" authorId="0" shapeId="0" xr:uid="{00000000-0006-0000-0100-000012000000}">
      <text>
        <r>
          <rPr>
            <u/>
            <sz val="8"/>
            <color indexed="81"/>
            <rFont val="Arial Narrow"/>
            <family val="2"/>
          </rPr>
          <t>GF-Verzehr Zuchtschweine-Kat.</t>
        </r>
        <r>
          <rPr>
            <sz val="8"/>
            <color indexed="81"/>
            <rFont val="Arial Narrow"/>
            <family val="2"/>
          </rPr>
          <t xml:space="preserve">
 0 - 0.5 dt GF pro Platz möglich, falls mehr, dann Menge mit I/E-Bilanz oder Lin. Korrektur ausweisen
</t>
        </r>
        <r>
          <rPr>
            <b/>
            <sz val="8"/>
            <color indexed="81"/>
            <rFont val="Arial Narrow"/>
            <family val="2"/>
          </rPr>
          <t>-&gt; Total-Menge TS separat mit Kat. "GF-Verz. Zuchtschweine" eingeben</t>
        </r>
      </text>
    </comment>
    <comment ref="H340" authorId="0" shapeId="0" xr:uid="{00000000-0006-0000-0100-000013000000}">
      <text>
        <r>
          <rPr>
            <u/>
            <sz val="8"/>
            <color indexed="81"/>
            <rFont val="Arial Narrow"/>
            <family val="2"/>
          </rPr>
          <t>GF-Verzehr Zuchtschweine-Kat.</t>
        </r>
        <r>
          <rPr>
            <sz val="8"/>
            <color indexed="81"/>
            <rFont val="Arial Narrow"/>
            <family val="2"/>
          </rPr>
          <t xml:space="preserve">
 0 - 0.5 dt GF pro Platz möglich, falls mehr, dann Menge mit I/E-Bilanz oder Lin. Korrektur ausweisen
</t>
        </r>
        <r>
          <rPr>
            <b/>
            <sz val="8"/>
            <color indexed="81"/>
            <rFont val="Arial Narrow"/>
            <family val="2"/>
          </rPr>
          <t>-&gt; Total-Menge TS separat mit Kat. "GF-Verz. Zuchtschweine" eingeben</t>
        </r>
      </text>
    </comment>
    <comment ref="H342" authorId="0" shapeId="0" xr:uid="{00000000-0006-0000-0100-000014000000}">
      <text>
        <r>
          <rPr>
            <u/>
            <sz val="8"/>
            <color indexed="81"/>
            <rFont val="Arial Narrow"/>
            <family val="2"/>
          </rPr>
          <t>GF-Verzehr Zuchtschweine-Kat.</t>
        </r>
        <r>
          <rPr>
            <sz val="8"/>
            <color indexed="81"/>
            <rFont val="Arial Narrow"/>
            <family val="2"/>
          </rPr>
          <t xml:space="preserve">
 0 - 0.5 dt GF pro Platz möglich, falls mehr, dann Menge mit I/E-Bilanz oder Lin. Korrektur ausweisen
</t>
        </r>
        <r>
          <rPr>
            <b/>
            <sz val="8"/>
            <color indexed="81"/>
            <rFont val="Arial Narrow"/>
            <family val="2"/>
          </rPr>
          <t>-&gt; Total-Menge TS separat mit Kat. "GF-Verz. Zuchtschweine" eingeben</t>
        </r>
      </text>
    </comment>
    <comment ref="H343" authorId="0" shapeId="0" xr:uid="{00000000-0006-0000-0100-000015000000}">
      <text>
        <r>
          <rPr>
            <u/>
            <sz val="8"/>
            <color indexed="81"/>
            <rFont val="Arial Narrow"/>
            <family val="2"/>
          </rPr>
          <t>GF-Verzehr Zuchtschweine-Kat.</t>
        </r>
        <r>
          <rPr>
            <sz val="8"/>
            <color indexed="81"/>
            <rFont val="Arial Narrow"/>
            <family val="2"/>
          </rPr>
          <t xml:space="preserve">
 0 - 0.5 dt GF pro Platz möglich, falls mehr, dann Menge mit I/E-Bilanz oder Lin. Korrektur ausweisen
</t>
        </r>
        <r>
          <rPr>
            <b/>
            <sz val="8"/>
            <color indexed="81"/>
            <rFont val="Arial Narrow"/>
            <family val="2"/>
          </rPr>
          <t>-&gt; Total-Menge TS separat mit Kat. "GF-Verz. Zuchtschweine" eingeben</t>
        </r>
      </text>
    </comment>
    <comment ref="H344" authorId="0" shapeId="0" xr:uid="{00000000-0006-0000-0100-000016000000}">
      <text>
        <r>
          <rPr>
            <u/>
            <sz val="8"/>
            <color indexed="81"/>
            <rFont val="Arial Narrow"/>
            <family val="2"/>
          </rPr>
          <t>GF-Verzehr Zuchtschweine-Kat.</t>
        </r>
        <r>
          <rPr>
            <sz val="8"/>
            <color indexed="81"/>
            <rFont val="Arial Narrow"/>
            <family val="2"/>
          </rPr>
          <t xml:space="preserve">
 0 - 0.5 dt GF pro Platz möglich, falls mehr, dann Menge mit I/E-Bilanz oder Lin. Korrektur ausweisen
</t>
        </r>
        <r>
          <rPr>
            <b/>
            <sz val="8"/>
            <color indexed="81"/>
            <rFont val="Arial Narrow"/>
            <family val="2"/>
          </rPr>
          <t>-&gt; Total-Menge TS separat mit Kat. "GF-Verz. Zuchtschweine" eingeben</t>
        </r>
      </text>
    </comment>
    <comment ref="H345" authorId="0" shapeId="0" xr:uid="{00000000-0006-0000-0100-000017000000}">
      <text>
        <r>
          <rPr>
            <u/>
            <sz val="8"/>
            <color indexed="81"/>
            <rFont val="Arial Narrow"/>
            <family val="2"/>
          </rPr>
          <t>GF-Verzehr Zuchtschweine-Kat.</t>
        </r>
        <r>
          <rPr>
            <sz val="8"/>
            <color indexed="81"/>
            <rFont val="Arial Narrow"/>
            <family val="2"/>
          </rPr>
          <t xml:space="preserve">
 0 - 0.5 dt GF pro Platz möglich, falls mehr, dann Menge mit I/E-Bilanz oder Lin. Korrektur ausweisen
</t>
        </r>
        <r>
          <rPr>
            <b/>
            <sz val="8"/>
            <color indexed="81"/>
            <rFont val="Arial Narrow"/>
            <family val="2"/>
          </rPr>
          <t>-&gt; Total-Menge TS separat mit Kat. "GF-Verz. Zuchtschweine" eingeben</t>
        </r>
      </text>
    </comment>
    <comment ref="H346" authorId="0" shapeId="0" xr:uid="{00000000-0006-0000-0100-000018000000}">
      <text>
        <r>
          <rPr>
            <u/>
            <sz val="8"/>
            <color indexed="81"/>
            <rFont val="Arial Narrow"/>
            <family val="2"/>
          </rPr>
          <t>GF-Verzehr Zuchtschweine-Kat.</t>
        </r>
        <r>
          <rPr>
            <sz val="8"/>
            <color indexed="81"/>
            <rFont val="Arial Narrow"/>
            <family val="2"/>
          </rPr>
          <t xml:space="preserve">
 0 - 0.5 dt GF pro Platz möglich, falls mehr, dann Menge mit I/E-Bilanz oder Lin. Korrektur ausweisen
</t>
        </r>
        <r>
          <rPr>
            <b/>
            <sz val="8"/>
            <color indexed="81"/>
            <rFont val="Arial Narrow"/>
            <family val="2"/>
          </rPr>
          <t>-&gt; Total-Menge TS separat mit Kat. "GF-Verz. Zuchtschweine" eingeben</t>
        </r>
      </text>
    </comment>
    <comment ref="G365" authorId="0" shapeId="0" xr:uid="{00000000-0006-0000-0100-000019000000}">
      <text>
        <r>
          <rPr>
            <sz val="11"/>
            <color indexed="81"/>
            <rFont val="Arial Narrow"/>
            <family val="2"/>
          </rPr>
          <t>nach GRUD:  100 Pl.
Seite 4/23</t>
        </r>
      </text>
    </comment>
    <comment ref="L365" authorId="0" shapeId="0" xr:uid="{00000000-0006-0000-0100-00001A000000}">
      <text>
        <r>
          <rPr>
            <sz val="11"/>
            <color indexed="81"/>
            <rFont val="Arial Narrow"/>
            <family val="2"/>
          </rPr>
          <t xml:space="preserve">keine Angabe in GRUD 2017
</t>
        </r>
      </text>
    </comment>
    <comment ref="L367" authorId="1" shapeId="0" xr:uid="{00000000-0006-0000-0100-00001B000000}">
      <text>
        <r>
          <rPr>
            <sz val="10"/>
            <color indexed="81"/>
            <rFont val="Arial Narrow"/>
            <family val="2"/>
          </rPr>
          <t>in GRUD 2017 wird kein Mg-Wert angegeben. 
[nach Grudaf 2009 war das Verhältnis Mg / P2O5 -&gt; ca. 1/6 ]</t>
        </r>
      </text>
    </comment>
    <comment ref="L368" authorId="1" shapeId="0" xr:uid="{00000000-0006-0000-0100-00001C000000}">
      <text>
        <r>
          <rPr>
            <sz val="10"/>
            <color indexed="81"/>
            <rFont val="Arial Narrow"/>
            <family val="2"/>
          </rPr>
          <t>in GRUD 2017 wird kein Mg-Wert angegeben. 
[nach Grudaf 2009 war das Verhältnis Mg / P2O5 -&gt; ca. 1/6 ]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lbbaff</author>
  </authors>
  <commentList>
    <comment ref="C10" authorId="0" shapeId="0" xr:uid="{00000000-0006-0000-0400-000001000000}">
      <text>
        <r>
          <rPr>
            <sz val="10"/>
            <color indexed="81"/>
            <rFont val="Arial"/>
            <family val="2"/>
          </rPr>
          <t>Tierkategorie aus der Liste wählen</t>
        </r>
      </text>
    </comment>
    <comment ref="A47" authorId="0" shapeId="0" xr:uid="{00000000-0006-0000-0400-000002000000}">
      <text>
        <r>
          <rPr>
            <sz val="8"/>
            <color indexed="81"/>
            <rFont val="Tahoma"/>
            <family val="2"/>
          </rPr>
          <t xml:space="preserve">Hilfswert:
diese Zelle dient zum Einblenden der Tab. für die Berechnung der mittleren Futtergehalte bei der Kategorie "Zuchtschweine inkl. Ferkel bis 25 kg", wenn diese oben als Kategorie gewählt wurde 
</t>
        </r>
      </text>
    </comment>
  </commentList>
</comments>
</file>

<file path=xl/sharedStrings.xml><?xml version="1.0" encoding="utf-8"?>
<sst xmlns="http://schemas.openxmlformats.org/spreadsheetml/2006/main" count="4339" uniqueCount="2137">
  <si>
    <t>mikg</t>
  </si>
  <si>
    <t>rvp</t>
  </si>
  <si>
    <t>rap</t>
  </si>
  <si>
    <t>Enten (100 Pl.)</t>
  </si>
  <si>
    <t>Gänse (100 Pl.)</t>
  </si>
  <si>
    <t>Perlhühner (100 Pl.)</t>
  </si>
  <si>
    <t>ent</t>
  </si>
  <si>
    <t>gan</t>
  </si>
  <si>
    <t>peh</t>
  </si>
  <si>
    <t>kir2</t>
  </si>
  <si>
    <t>oa2</t>
  </si>
  <si>
    <t>zwe2</t>
  </si>
  <si>
    <t>pfi2</t>
  </si>
  <si>
    <t>kiw2</t>
  </si>
  <si>
    <t>Kernobst (60 t/ha), hoher Ertrag</t>
  </si>
  <si>
    <t>Namen (Einfügen Namen definieren)</t>
  </si>
  <si>
    <t>Zwetschgen (20 t/ha), hoher Ertrag</t>
  </si>
  <si>
    <t>Aprikosen (25 t/ha), hoher Ertrag</t>
  </si>
  <si>
    <t>ap2</t>
  </si>
  <si>
    <t>Pfirsiche</t>
  </si>
  <si>
    <t>Pfirsiche (25 t/ha), hoher Ertrag</t>
  </si>
  <si>
    <t>Kiwi (25 t/ha), hoher Ertrag</t>
  </si>
  <si>
    <t xml:space="preserve">     (Berechnung erfolgt im Blatt SB...)</t>
  </si>
  <si>
    <t xml:space="preserve">Zuerst den Kopf ausfüllen (gelbe Zellen), sowie die max. möglichen Zufuhren nach aktueller Nährstoffbilanz. </t>
  </si>
  <si>
    <t>wenn Parzelle in Nitrat-Projekt nach Art. 62a Gewässerschutzgesetz</t>
  </si>
  <si>
    <t>Die Einsätze der betriebsfremden Dünger aufführen. Dabei auf korrekte Angaben achten z.B. wenn</t>
  </si>
  <si>
    <t>die Menge Ammonsalpeter in kg eingegeben wird, den N-Gehalt auch je kg eingeben (also 0.275).</t>
  </si>
  <si>
    <t>Zum Ausdrucken die Anzahl Seiten festlegen (Datei - Drucken - Seiten von ... bis ... ).</t>
  </si>
  <si>
    <t xml:space="preserve"> Einsatz betriebsfremder Düngemittel</t>
  </si>
  <si>
    <t>von:</t>
  </si>
  <si>
    <t xml:space="preserve">Betrieb: </t>
  </si>
  <si>
    <t>Nr.</t>
  </si>
  <si>
    <t>bei 100 Pl. = 225 Stk. (200-250)</t>
  </si>
  <si>
    <t>Tab. für Korrektur des Grundfutterverzehrs aufgrund der Kraftfuttergaben</t>
  </si>
  <si>
    <t>VM</t>
  </si>
  <si>
    <t>Abzug</t>
  </si>
  <si>
    <t>Summe</t>
  </si>
  <si>
    <t xml:space="preserve">   alle betriebsfremden Düngemittel:</t>
  </si>
  <si>
    <t xml:space="preserve">bis: </t>
  </si>
  <si>
    <t>&gt; betriebsfremde Hofdünger, zugeführtes Stroh zum Streuen, ...</t>
  </si>
  <si>
    <t>Blatt  1</t>
  </si>
  <si>
    <t>&gt; Handelsdünger (inkl. Flüssigdünger, Fertigation, ...), etc.</t>
  </si>
  <si>
    <t>Zwischenergebnisse nach Nährstoffbilanz</t>
  </si>
  <si>
    <r>
      <t>kg N</t>
    </r>
    <r>
      <rPr>
        <b/>
        <vertAlign val="subscript"/>
        <sz val="11"/>
        <rFont val="Arial"/>
        <family val="2"/>
      </rPr>
      <t>verf</t>
    </r>
  </si>
  <si>
    <r>
      <t>kg P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>O</t>
    </r>
    <r>
      <rPr>
        <b/>
        <vertAlign val="subscript"/>
        <sz val="11"/>
        <rFont val="Arial"/>
        <family val="2"/>
      </rPr>
      <t>5</t>
    </r>
  </si>
  <si>
    <t xml:space="preserve">Maximal mögliche Zufuhren auf den Betrieb : </t>
  </si>
  <si>
    <t>Datum</t>
  </si>
  <si>
    <t>Parzelle</t>
  </si>
  <si>
    <t>Kultur</t>
  </si>
  <si>
    <t>Fläche</t>
  </si>
  <si>
    <t>Düngemittel</t>
  </si>
  <si>
    <t>totale</t>
  </si>
  <si>
    <t>Einheit</t>
  </si>
  <si>
    <r>
      <t xml:space="preserve">Nährstoffgehalt:
</t>
    </r>
    <r>
      <rPr>
        <sz val="9"/>
        <rFont val="Arial"/>
        <family val="2"/>
      </rPr>
      <t>kg pro Einheit</t>
    </r>
  </si>
  <si>
    <t xml:space="preserve">  </t>
  </si>
  <si>
    <r>
      <t xml:space="preserve">Nährstoffe total ausgebracht
</t>
    </r>
    <r>
      <rPr>
        <b/>
        <sz val="8"/>
        <rFont val="Arial"/>
        <family val="2"/>
      </rPr>
      <t>kg</t>
    </r>
  </si>
  <si>
    <t>Kontrollrechnung: noch einsetzbar</t>
  </si>
  <si>
    <t>ha</t>
  </si>
  <si>
    <t>Art</t>
  </si>
  <si>
    <t>Menge</t>
  </si>
  <si>
    <r>
      <t>kg,dt,m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>, t</t>
    </r>
  </si>
  <si>
    <t>N</t>
  </si>
  <si>
    <r>
      <t>P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5</t>
    </r>
  </si>
  <si>
    <r>
      <t>K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</si>
  <si>
    <t>Mg</t>
  </si>
  <si>
    <r>
      <t>N</t>
    </r>
    <r>
      <rPr>
        <vertAlign val="subscript"/>
        <sz val="11"/>
        <rFont val="Arial"/>
        <family val="2"/>
      </rPr>
      <t>verf</t>
    </r>
  </si>
  <si>
    <r>
      <t>P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O</t>
    </r>
    <r>
      <rPr>
        <vertAlign val="subscript"/>
        <sz val="11"/>
        <rFont val="Arial"/>
        <family val="2"/>
      </rPr>
      <t>5</t>
    </r>
  </si>
  <si>
    <r>
      <t>K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O</t>
    </r>
  </si>
  <si>
    <r>
      <t>Saldo N</t>
    </r>
    <r>
      <rPr>
        <vertAlign val="subscript"/>
        <sz val="9"/>
        <rFont val="Arial"/>
        <family val="2"/>
      </rPr>
      <t>verf</t>
    </r>
  </si>
  <si>
    <r>
      <t>Saldo P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O</t>
    </r>
    <r>
      <rPr>
        <vertAlign val="subscript"/>
        <sz val="9"/>
        <rFont val="Arial"/>
        <family val="2"/>
      </rPr>
      <t>5</t>
    </r>
  </si>
  <si>
    <t xml:space="preserve">Übertrag  </t>
  </si>
  <si>
    <t>Einsatz betriebsfremder Düngemittel</t>
  </si>
  <si>
    <t>Blatt  2</t>
  </si>
  <si>
    <t>Blatt  3</t>
  </si>
  <si>
    <t>Blatt  4</t>
  </si>
  <si>
    <t>Blatt  5</t>
  </si>
  <si>
    <t>Blatt  6</t>
  </si>
  <si>
    <t>Blatt  7</t>
  </si>
  <si>
    <t>Seite 1</t>
  </si>
  <si>
    <t xml:space="preserve"> </t>
  </si>
  <si>
    <t>ja</t>
  </si>
  <si>
    <t xml:space="preserve">Name: </t>
  </si>
  <si>
    <t>Betr.Nr.</t>
  </si>
  <si>
    <t xml:space="preserve"> Datum:</t>
  </si>
  <si>
    <t xml:space="preserve">Adresse: </t>
  </si>
  <si>
    <t>erstellt von:</t>
  </si>
  <si>
    <t>Voll-</t>
  </si>
  <si>
    <t>GF-Ver-</t>
  </si>
  <si>
    <t xml:space="preserve">  Tierkategorie</t>
  </si>
  <si>
    <t>Änderung pro g</t>
  </si>
  <si>
    <t>Tiefstwerte (kg/Jahr)</t>
  </si>
  <si>
    <r>
      <t>N</t>
    </r>
    <r>
      <rPr>
        <vertAlign val="subscript"/>
        <sz val="8"/>
        <rFont val="Arial"/>
        <family val="2"/>
      </rPr>
      <t>ges</t>
    </r>
  </si>
  <si>
    <t xml:space="preserve"> Tierkategorien</t>
  </si>
  <si>
    <t>Anzahl</t>
  </si>
  <si>
    <t>Laufhof</t>
  </si>
  <si>
    <t>Weide</t>
  </si>
  <si>
    <r>
      <t>Nicht aufgeführte Kulturen</t>
    </r>
    <r>
      <rPr>
        <sz val="10"/>
        <rFont val="Arial Narrow"/>
        <family val="2"/>
      </rPr>
      <t xml:space="preserve"> (Nicht-Leg., Mischungen von Leg. und Nicht-Leg.)</t>
    </r>
  </si>
  <si>
    <t>mist</t>
  </si>
  <si>
    <t>zehr</t>
  </si>
  <si>
    <t>Nährstoffanfall  (kg pro Jahr)</t>
  </si>
  <si>
    <t>Grundfutter</t>
  </si>
  <si>
    <t>Biertreber, frisch</t>
  </si>
  <si>
    <t>Biertreber, siliert</t>
  </si>
  <si>
    <t>Abgang Obstverwertung</t>
  </si>
  <si>
    <t>Abgang Gemüseverwertung</t>
  </si>
  <si>
    <t>Maissilage</t>
  </si>
  <si>
    <t xml:space="preserve"> -  betriebseigene verfütterte GF von ausserhalb </t>
  </si>
  <si>
    <t xml:space="preserve"> -  Total GF-Zufuhr </t>
  </si>
  <si>
    <r>
      <t xml:space="preserve"> + Total GF-Wegfuhr</t>
    </r>
    <r>
      <rPr>
        <sz val="8"/>
        <rFont val="Arial Narrow"/>
        <family val="2"/>
      </rPr>
      <t xml:space="preserve"> </t>
    </r>
  </si>
  <si>
    <r>
      <t xml:space="preserve">- bei den GF-Zu-/Wegfuhren ist zu unterscheiden zwischen "normalem" und "nährstoffarmem" GF </t>
    </r>
    <r>
      <rPr>
        <sz val="10"/>
        <color indexed="8"/>
        <rFont val="Arial Narrow"/>
        <family val="2"/>
      </rPr>
      <t>(= Stroh, GF von extensiven und wenig intensiven Wiesen)</t>
    </r>
  </si>
  <si>
    <r>
      <t xml:space="preserve">Grundfutter-Zufuhr +, GF-Wegfuhr </t>
    </r>
    <r>
      <rPr>
        <sz val="9"/>
        <rFont val="Arial"/>
        <family val="2"/>
      </rPr>
      <t>-</t>
    </r>
  </si>
  <si>
    <t>ZR-Schnitzel, frisch</t>
  </si>
  <si>
    <t>Biertreber, getrocknet</t>
  </si>
  <si>
    <t>GF-Typ</t>
  </si>
  <si>
    <t xml:space="preserve">im </t>
  </si>
  <si>
    <t>auf</t>
  </si>
  <si>
    <t>mist-</t>
  </si>
  <si>
    <t>Kraftfutter</t>
  </si>
  <si>
    <t>Tage/J.</t>
  </si>
  <si>
    <t>Std./T.</t>
  </si>
  <si>
    <t>Typ</t>
  </si>
  <si>
    <t>dt TS/J.</t>
  </si>
  <si>
    <r>
      <t>P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O</t>
    </r>
    <r>
      <rPr>
        <vertAlign val="subscript"/>
        <sz val="8"/>
        <rFont val="Arial"/>
        <family val="2"/>
      </rPr>
      <t xml:space="preserve">5   </t>
    </r>
  </si>
  <si>
    <r>
      <t>K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O</t>
    </r>
  </si>
  <si>
    <t xml:space="preserve">Mg </t>
  </si>
  <si>
    <t>Laufh.</t>
  </si>
  <si>
    <t>kg/Kuh/J.</t>
  </si>
  <si>
    <t>0/50/100</t>
  </si>
  <si>
    <t>kg</t>
  </si>
  <si>
    <t>wrnp</t>
  </si>
  <si>
    <t>Milchkühe</t>
  </si>
  <si>
    <t>Abkürz.</t>
  </si>
  <si>
    <r>
      <t>Total</t>
    </r>
    <r>
      <rPr>
        <sz val="8"/>
        <rFont val="Arial"/>
        <family val="2"/>
      </rPr>
      <t xml:space="preserve"> (A1)</t>
    </r>
  </si>
  <si>
    <t>L</t>
  </si>
  <si>
    <t>W</t>
  </si>
  <si>
    <t>V1</t>
  </si>
  <si>
    <t xml:space="preserve">     - Abzug von Stickstoffverlusten infolge Weide- (W*0.7) und Laufhofhaltung (L*0.5):</t>
  </si>
  <si>
    <t>V2</t>
  </si>
  <si>
    <r>
      <t>davon N</t>
    </r>
    <r>
      <rPr>
        <vertAlign val="subscript"/>
        <sz val="10"/>
        <rFont val="Arial"/>
        <family val="2"/>
      </rPr>
      <t>verfügbar</t>
    </r>
    <r>
      <rPr>
        <sz val="8"/>
        <rFont val="Arial"/>
        <family val="2"/>
      </rPr>
      <t>:</t>
    </r>
  </si>
  <si>
    <t>Kälbermist</t>
  </si>
  <si>
    <t>Diverse</t>
  </si>
  <si>
    <t>Pferdemist frisch</t>
  </si>
  <si>
    <t>Pferdemist</t>
  </si>
  <si>
    <t>Schaf-/Ziegenmist</t>
  </si>
  <si>
    <t xml:space="preserve">Bei Bezügen gilt der Lieferschein des Abgebers. </t>
  </si>
  <si>
    <t>aus gewerblich-industriellen Vergärungsanlagen</t>
  </si>
  <si>
    <t>500-800</t>
  </si>
  <si>
    <t>Mischgülle:  Milchvieh + Schweine-Mast</t>
  </si>
  <si>
    <r>
      <t>N</t>
    </r>
    <r>
      <rPr>
        <vertAlign val="subscript"/>
        <sz val="10"/>
        <rFont val="Arial Narrow"/>
        <family val="2"/>
      </rPr>
      <t>lös</t>
    </r>
    <r>
      <rPr>
        <sz val="10"/>
        <rFont val="Arial Narrow"/>
        <family val="2"/>
      </rPr>
      <t xml:space="preserve"> : Wasserlösliche Stickstoffformen (v.a. Ammonium); sofort pflanzenverfügbar, aber auch verlustgefährdet</t>
    </r>
  </si>
  <si>
    <t>Zeile nötig für Abfrage LK --&gt;</t>
  </si>
  <si>
    <r>
      <t>5-10% von N</t>
    </r>
    <r>
      <rPr>
        <vertAlign val="subscript"/>
        <sz val="9"/>
        <rFont val="Arial Narrow"/>
        <family val="2"/>
      </rPr>
      <t>tot</t>
    </r>
  </si>
  <si>
    <t>Anrechnung in der Suisse-Bilanz:</t>
  </si>
  <si>
    <t xml:space="preserve">    Gärreste fest</t>
  </si>
  <si>
    <t xml:space="preserve">    Gärreste flüssig</t>
  </si>
  <si>
    <t xml:space="preserve"> Kaninchen</t>
  </si>
  <si>
    <t xml:space="preserve"> Geflügel (Kategorie)</t>
  </si>
  <si>
    <t xml:space="preserve">    </t>
  </si>
  <si>
    <t xml:space="preserve"> LK 1-8: Lineare Korrekturen (Schweine, Hennen)</t>
  </si>
  <si>
    <t>Kräuter, mehrjährig, klein (8 kg/a)</t>
  </si>
  <si>
    <t>Kräuter, mehrjährig, mittel (25 kg/a)</t>
  </si>
  <si>
    <t>Kräuter, mehrjährig, mittel-gross (50 kg/a)</t>
  </si>
  <si>
    <t>Kräuter, mehrjährig, gross (75 kg/a)</t>
  </si>
  <si>
    <r>
      <t>Vollmist-N</t>
    </r>
    <r>
      <rPr>
        <b/>
        <vertAlign val="subscript"/>
        <sz val="8"/>
        <rFont val="Arial"/>
        <family val="2"/>
      </rPr>
      <t>ges</t>
    </r>
  </si>
  <si>
    <t>GF</t>
  </si>
  <si>
    <t>davon</t>
  </si>
  <si>
    <t>dt TS</t>
  </si>
  <si>
    <t>normal</t>
  </si>
  <si>
    <t>Wegf.</t>
  </si>
  <si>
    <t>Zufuhr</t>
  </si>
  <si>
    <t>dt FS</t>
  </si>
  <si>
    <t>%TS</t>
  </si>
  <si>
    <t>max.</t>
  </si>
  <si>
    <t xml:space="preserve">Faktor </t>
  </si>
  <si>
    <t>Zuschlag</t>
  </si>
  <si>
    <t>kg N / dt Körner</t>
  </si>
  <si>
    <t>N-Korrektur-</t>
  </si>
  <si>
    <t>kg N/ha</t>
  </si>
  <si>
    <t>max. N-</t>
  </si>
  <si>
    <t>Korrektur</t>
  </si>
  <si>
    <t>kg / ha</t>
  </si>
  <si>
    <t>N - Norm</t>
  </si>
  <si>
    <t>Grassilage</t>
  </si>
  <si>
    <t>IE Mastschweine</t>
  </si>
  <si>
    <t>IE Galtsauen</t>
  </si>
  <si>
    <t>IE säugende Zuchtsauen</t>
  </si>
  <si>
    <t>IE abgesetzte Ferkel</t>
  </si>
  <si>
    <t>IE Kaninchen-Jungtier, ab 35 d</t>
  </si>
  <si>
    <t xml:space="preserve"> offene Ackerfläche</t>
  </si>
  <si>
    <r>
      <t>- Achtung:</t>
    </r>
    <r>
      <rPr>
        <sz val="9"/>
        <rFont val="Arial"/>
        <family val="2"/>
      </rPr>
      <t xml:space="preserve"> </t>
    </r>
    <r>
      <rPr>
        <b/>
        <sz val="9"/>
        <color indexed="12"/>
        <rFont val="Arial"/>
        <family val="2"/>
      </rPr>
      <t xml:space="preserve">Gehalt an </t>
    </r>
    <r>
      <rPr>
        <b/>
        <u/>
        <sz val="9"/>
        <color indexed="12"/>
        <rFont val="Arial"/>
        <family val="2"/>
      </rPr>
      <t xml:space="preserve">Nges </t>
    </r>
    <r>
      <rPr>
        <sz val="9"/>
        <rFont val="Arial"/>
        <family val="2"/>
      </rPr>
      <t xml:space="preserve">eintragen, Nverf wird betriebsspezifisch berechnet (60% - Abzug für offene Ackerfläche - Abzug für Vollmist-Nges). </t>
    </r>
  </si>
  <si>
    <t>- für Wegfuhren können die Gehaltswerte im Abschnitt "Hofdüngeranfall" (Seite 3, in diesem Blatt) berechnet werden oder mit Hilfe der offiziellen Tabellen geschätzt werden</t>
  </si>
  <si>
    <r>
      <t xml:space="preserve">- Es sind die </t>
    </r>
    <r>
      <rPr>
        <b/>
        <sz val="9"/>
        <rFont val="Arial"/>
        <family val="2"/>
      </rPr>
      <t>Saldi gemäss Auszug aus HODUFLU</t>
    </r>
    <r>
      <rPr>
        <sz val="9"/>
        <rFont val="Arial"/>
        <family val="2"/>
      </rPr>
      <t xml:space="preserve"> massgebend</t>
    </r>
  </si>
  <si>
    <r>
      <t>- in der Spalte "</t>
    </r>
    <r>
      <rPr>
        <u/>
        <sz val="9"/>
        <rFont val="Arial"/>
        <family val="2"/>
      </rPr>
      <t>Vollmist-N</t>
    </r>
    <r>
      <rPr>
        <sz val="9"/>
        <rFont val="Arial"/>
        <family val="2"/>
      </rPr>
      <t>" ist "ja" einzugeben, wenn es sich um Mist aus Vollmist-Systemen handelt (Typ 50 oder 100, siehe oben bei Tierhaltung).</t>
    </r>
  </si>
  <si>
    <r>
      <t xml:space="preserve">- Der </t>
    </r>
    <r>
      <rPr>
        <sz val="10"/>
        <color indexed="12"/>
        <rFont val="Arial"/>
        <family val="2"/>
      </rPr>
      <t xml:space="preserve">Ausnutzungsgrad des Gesamt-Stickstoffs (Nges) für </t>
    </r>
    <r>
      <rPr>
        <u/>
        <sz val="10"/>
        <color indexed="12"/>
        <rFont val="Arial"/>
        <family val="2"/>
      </rPr>
      <t>unvergärte</t>
    </r>
    <r>
      <rPr>
        <sz val="10"/>
        <color indexed="12"/>
        <rFont val="Arial"/>
        <family val="2"/>
      </rPr>
      <t xml:space="preserve"> Hofdünger </t>
    </r>
    <r>
      <rPr>
        <sz val="10"/>
        <rFont val="Arial"/>
        <family val="2"/>
      </rPr>
      <t>wird ausgehend von der Basis 60% korrigiert nach</t>
    </r>
  </si>
  <si>
    <t xml:space="preserve">            Anteil offener Ackerfläche (pro 1% Anteil -0.15%) und Anteil Vollmist-Nges (pro 1% Anteil -0.12% ).</t>
  </si>
  <si>
    <t>IE Masttruten</t>
  </si>
  <si>
    <t>IE Mastpoulets</t>
  </si>
  <si>
    <t>IE Junghennen</t>
  </si>
  <si>
    <t>iems</t>
  </si>
  <si>
    <t>iezs</t>
  </si>
  <si>
    <t>iegs</t>
  </si>
  <si>
    <t xml:space="preserve"> Düngerart, Lief./Abn. -  HODUFLU</t>
  </si>
  <si>
    <t>Div. oAF:</t>
  </si>
  <si>
    <t>Maishäcksel</t>
  </si>
  <si>
    <t xml:space="preserve">        der Futterfläche: </t>
  </si>
  <si>
    <t>Kartoffeln</t>
  </si>
  <si>
    <t>Futterrüben</t>
  </si>
  <si>
    <t>Zuckerrüben</t>
  </si>
  <si>
    <t>CCM für Rindviehmast</t>
  </si>
  <si>
    <t>Berechnung der Grundfutterproduktion auf der Futterfläche:</t>
  </si>
  <si>
    <r>
      <t>N</t>
    </r>
    <r>
      <rPr>
        <vertAlign val="subscript"/>
        <sz val="10"/>
        <rFont val="Arial Narrow"/>
        <family val="2"/>
      </rPr>
      <t>verf</t>
    </r>
    <r>
      <rPr>
        <sz val="10"/>
        <rFont val="Arial Narrow"/>
        <family val="2"/>
      </rPr>
      <t xml:space="preserve"> : Pflanzenverfügbarer Stickstoff </t>
    </r>
    <r>
      <rPr>
        <sz val="9"/>
        <rFont val="Arial Narrow"/>
        <family val="2"/>
      </rPr>
      <t>(kurz- und mittelfristig)</t>
    </r>
  </si>
  <si>
    <t xml:space="preserve">GF-Wegfuhren von ext. Wiesen &gt; Produktion </t>
  </si>
  <si>
    <t>GF-Wegfuhren von wenig intensiven Wiesen &gt; Produktion</t>
  </si>
  <si>
    <t>TS: Trockensubstanz, OS: organische Substanz</t>
  </si>
  <si>
    <r>
      <t xml:space="preserve">Saldo Nährstoffzufuhr und -wegfuhr </t>
    </r>
    <r>
      <rPr>
        <sz val="7"/>
        <rFont val="Arial"/>
        <family val="2"/>
      </rPr>
      <t>(A3+D+E)</t>
    </r>
  </si>
  <si>
    <r>
      <t xml:space="preserve">- </t>
    </r>
    <r>
      <rPr>
        <b/>
        <sz val="10"/>
        <rFont val="Arial"/>
        <family val="2"/>
      </rPr>
      <t xml:space="preserve">Grundfutter-Verzehr Zuchtschweine: </t>
    </r>
    <r>
      <rPr>
        <sz val="10"/>
        <rFont val="Arial"/>
        <family val="2"/>
      </rPr>
      <t xml:space="preserve">separate "Tierart" auswählen ("GF-Verz. Zuchtschw. dt TS total") und </t>
    </r>
    <r>
      <rPr>
        <b/>
        <sz val="10"/>
        <rFont val="Arial"/>
        <family val="2"/>
      </rPr>
      <t>effektiv</t>
    </r>
    <r>
      <rPr>
        <sz val="10"/>
        <rFont val="Arial"/>
        <family val="2"/>
      </rPr>
      <t xml:space="preserve"> verfütterte Menge in dt TS in Spalte "Anzahl" eingeben.</t>
    </r>
  </si>
  <si>
    <r>
      <t xml:space="preserve">Mit dieser Tabelle </t>
    </r>
    <r>
      <rPr>
        <b/>
        <u/>
        <sz val="11"/>
        <color indexed="39"/>
        <rFont val="Arial"/>
        <family val="2"/>
      </rPr>
      <t>kann</t>
    </r>
    <r>
      <rPr>
        <b/>
        <sz val="11"/>
        <color indexed="39"/>
        <rFont val="Arial"/>
        <family val="2"/>
      </rPr>
      <t xml:space="preserve"> der Saldo-Stand der Nährstoffkontingente für N und P unter dem Jahr nachgeführt werden.</t>
    </r>
  </si>
  <si>
    <t>häufige</t>
  </si>
  <si>
    <t>- Zum Zwischenfutter gehören auch die Frühjahrsschnitte vor Umbruch von Kunstwiesen.</t>
  </si>
  <si>
    <t>Ertrags-</t>
  </si>
  <si>
    <t xml:space="preserve">  TS-</t>
  </si>
  <si>
    <t>- Wiesen sind Natur- und Kunstwiesen zusammen.</t>
  </si>
  <si>
    <t>bereiche</t>
  </si>
  <si>
    <t>Kulturen</t>
  </si>
  <si>
    <t>Ertrag</t>
  </si>
  <si>
    <t>Nährstoffbedarf (kg/dt TS)</t>
  </si>
  <si>
    <t>Nährstoffbedarf  (kg / Jahr)</t>
  </si>
  <si>
    <t>&lt; 600 m</t>
  </si>
  <si>
    <t>dt/ha</t>
  </si>
  <si>
    <t>Richtwerte für den Gehalt von Hofdüngern</t>
  </si>
  <si>
    <t>TS</t>
  </si>
  <si>
    <t>OS</t>
  </si>
  <si>
    <t>Ntot</t>
  </si>
  <si>
    <t>Nlös</t>
  </si>
  <si>
    <t>Ca</t>
  </si>
  <si>
    <t>Raumgewicht</t>
  </si>
  <si>
    <t>dünnung</t>
  </si>
  <si>
    <t>kg/m3</t>
  </si>
  <si>
    <t>kg / t TS</t>
  </si>
  <si>
    <t>Milchvieh</t>
  </si>
  <si>
    <t>1:</t>
  </si>
  <si>
    <t>Gülle kotarm</t>
  </si>
  <si>
    <t>Stapelmist</t>
  </si>
  <si>
    <t>Rindviehmast</t>
  </si>
  <si>
    <t>Schweinegülle Mast</t>
  </si>
  <si>
    <t>Schweinegülle Zucht</t>
  </si>
  <si>
    <t>Schweinemist</t>
  </si>
  <si>
    <t>Pouletmist</t>
  </si>
  <si>
    <t>Trutenmist</t>
  </si>
  <si>
    <r>
      <t>P</t>
    </r>
    <r>
      <rPr>
        <vertAlign val="subscript"/>
        <sz val="10"/>
        <rFont val="Arial Narrow"/>
        <family val="2"/>
      </rPr>
      <t>2</t>
    </r>
    <r>
      <rPr>
        <sz val="10"/>
        <rFont val="Arial Narrow"/>
        <family val="2"/>
      </rPr>
      <t>O</t>
    </r>
    <r>
      <rPr>
        <vertAlign val="subscript"/>
        <sz val="10"/>
        <rFont val="Arial Narrow"/>
        <family val="2"/>
      </rPr>
      <t>5</t>
    </r>
  </si>
  <si>
    <r>
      <t>K</t>
    </r>
    <r>
      <rPr>
        <vertAlign val="subscript"/>
        <sz val="10"/>
        <rFont val="Arial Narrow"/>
        <family val="2"/>
      </rPr>
      <t>2</t>
    </r>
    <r>
      <rPr>
        <sz val="10"/>
        <rFont val="Arial Narrow"/>
        <family val="2"/>
      </rPr>
      <t>O</t>
    </r>
  </si>
  <si>
    <t>Kraftfutter-</t>
  </si>
  <si>
    <t>Sömmerung</t>
  </si>
  <si>
    <t>verzehr</t>
  </si>
  <si>
    <t>kg FS</t>
  </si>
  <si>
    <t>GF-Verzehr</t>
  </si>
  <si>
    <t>pro Einh.</t>
  </si>
  <si>
    <t>total</t>
  </si>
  <si>
    <t>Tiere</t>
  </si>
  <si>
    <t/>
  </si>
  <si>
    <t>Teil A: Grund- und Kraftfutterverzehr (Bedarf)</t>
  </si>
  <si>
    <t>diese Zeile jeweils leeren und ausblenden</t>
  </si>
  <si>
    <t>Teil B: Grundfutterproduktion</t>
  </si>
  <si>
    <t>Teil C: Zu- und Wegfuhr Grundfutter</t>
  </si>
  <si>
    <t>Wiesen- und</t>
  </si>
  <si>
    <t>Weidefutter</t>
  </si>
  <si>
    <t>Übriges GF</t>
  </si>
  <si>
    <t xml:space="preserve">%    </t>
  </si>
  <si>
    <t>GF total</t>
  </si>
  <si>
    <t>[+] Verluste und Fehlerbereich</t>
  </si>
  <si>
    <t>[+] Verzehr während Sömmerung</t>
  </si>
  <si>
    <t>Produktion</t>
  </si>
  <si>
    <t>[+] Zufuhr</t>
  </si>
  <si>
    <t>[+] Futter während Sömmerung</t>
  </si>
  <si>
    <t>[-] Wegfuhr</t>
  </si>
  <si>
    <t>Wiesen-/Weidefutter</t>
  </si>
  <si>
    <t>[-] Grundfutter übrige Tiere</t>
  </si>
  <si>
    <t>≥</t>
  </si>
  <si>
    <t>≤</t>
  </si>
  <si>
    <t>Unterschrift:</t>
  </si>
  <si>
    <t>Futter-Bedarf</t>
  </si>
  <si>
    <t>Gesamtverzehr der Raufutterverzehrer</t>
  </si>
  <si>
    <t>B2:</t>
  </si>
  <si>
    <t>übrige Grundfutter</t>
  </si>
  <si>
    <t>B3:</t>
  </si>
  <si>
    <t>Wiesen + Weiden</t>
  </si>
  <si>
    <t>B1:</t>
  </si>
  <si>
    <t>C1:</t>
  </si>
  <si>
    <t>Wegfuhr</t>
  </si>
  <si>
    <t>C2:</t>
  </si>
  <si>
    <t>C3:</t>
  </si>
  <si>
    <t>C4:</t>
  </si>
  <si>
    <t>Total Grundfutter</t>
  </si>
  <si>
    <t>Grund-</t>
  </si>
  <si>
    <t>futter-</t>
  </si>
  <si>
    <t>A6:</t>
  </si>
  <si>
    <t>A1:</t>
  </si>
  <si>
    <t>Futtermengen und %Anteile</t>
  </si>
  <si>
    <t>dt TS (A2+A4*88%)</t>
  </si>
  <si>
    <t>davon:</t>
  </si>
  <si>
    <t>RV</t>
  </si>
  <si>
    <t xml:space="preserve">                      Total alle Tiere</t>
  </si>
  <si>
    <t>GMF</t>
  </si>
  <si>
    <t>Raufutter-</t>
  </si>
  <si>
    <t>verzehrer</t>
  </si>
  <si>
    <t>Gebiet</t>
  </si>
  <si>
    <t xml:space="preserve">  gemäss Suisse-Bilanz</t>
  </si>
  <si>
    <t>gemäss</t>
  </si>
  <si>
    <t>Suisse-Bil.</t>
  </si>
  <si>
    <t>B2+A6+C3-C1-A3</t>
  </si>
  <si>
    <t>Ort, Datum:</t>
  </si>
  <si>
    <t>Anforderungen</t>
  </si>
  <si>
    <t>Futterart</t>
  </si>
  <si>
    <t>Talgebiet</t>
  </si>
  <si>
    <t>Berggebiet</t>
  </si>
  <si>
    <t>RVm</t>
  </si>
  <si>
    <t>RV*</t>
  </si>
  <si>
    <t>Raufutterverzehrer</t>
  </si>
  <si>
    <t>Typ für</t>
  </si>
  <si>
    <t>nach KF</t>
  </si>
  <si>
    <t>Sö-GF-Korr.</t>
  </si>
  <si>
    <t>umger. im Jahr</t>
  </si>
  <si>
    <t>pro Einheit</t>
  </si>
  <si>
    <t>Futterbilanz für die graslandbasierte</t>
  </si>
  <si>
    <t>dt TS / Jahr</t>
  </si>
  <si>
    <t>ausserhalb Futterfläche C5:</t>
  </si>
  <si>
    <t>Addition der GF-Zu- und Wegfuhren nach Typ</t>
  </si>
  <si>
    <t>Summe Gras</t>
  </si>
  <si>
    <t>Summe übriges GF</t>
  </si>
  <si>
    <t xml:space="preserve">   Mengen gemäss Suisse-Bilanz</t>
  </si>
  <si>
    <t>GF ausserhalb Futterfläche</t>
  </si>
  <si>
    <t xml:space="preserve">offene Ackerfläche (ha): </t>
  </si>
  <si>
    <t>ausserhalb LN (ha):</t>
  </si>
  <si>
    <t xml:space="preserve">-&gt; LN (ha): </t>
  </si>
  <si>
    <r>
      <t xml:space="preserve">Gesamtnährstoffbedarf Betrieb </t>
    </r>
    <r>
      <rPr>
        <sz val="8"/>
        <rFont val="Arial"/>
        <family val="2"/>
      </rPr>
      <t xml:space="preserve">(C) </t>
    </r>
  </si>
  <si>
    <t>davon düngbar:</t>
  </si>
  <si>
    <t>der Gesamtfläche</t>
  </si>
  <si>
    <t>dt total</t>
  </si>
  <si>
    <t>A) nährstoffarmes Grundfutter (Kategorien)</t>
  </si>
  <si>
    <t>B) normales Grundfutter (Kategorien)</t>
  </si>
  <si>
    <t>Gras - normal</t>
  </si>
  <si>
    <t>Typ-Nr.</t>
  </si>
  <si>
    <t>Nicht-Gras - Stroh = nährstoffarm</t>
  </si>
  <si>
    <t>Nicht-Gras - normal</t>
  </si>
  <si>
    <t>= normales GF</t>
  </si>
  <si>
    <t xml:space="preserve"> 2 - 4</t>
  </si>
  <si>
    <t>= nährstoffarmes GF</t>
  </si>
  <si>
    <t>Gras - extensiv = nährstoffarm</t>
  </si>
  <si>
    <t>Gras - wenig intensiv = nährstoffarm</t>
  </si>
  <si>
    <t>1-3</t>
  </si>
  <si>
    <t>4+5</t>
  </si>
  <si>
    <t>*GF von ext. Wiesen</t>
  </si>
  <si>
    <t>*GF von w. int. Wiesen</t>
  </si>
  <si>
    <t>*Zufuhr Stroh für Futter</t>
  </si>
  <si>
    <t xml:space="preserve"> Art des GF</t>
  </si>
  <si>
    <r>
      <t xml:space="preserve"> Total Grundfutterverzehr</t>
    </r>
    <r>
      <rPr>
        <sz val="8"/>
        <rFont val="Arial"/>
        <family val="2"/>
      </rPr>
      <t xml:space="preserve"> </t>
    </r>
    <r>
      <rPr>
        <sz val="7"/>
        <rFont val="Arial"/>
        <family val="2"/>
      </rPr>
      <t>(nach A1)</t>
    </r>
  </si>
  <si>
    <t xml:space="preserve"> = Total Netto-Grundfutterbedarf (dt TS) </t>
  </si>
  <si>
    <t xml:space="preserve"> + Lagerungs- und Krippenverluste ( 0-5%)</t>
  </si>
  <si>
    <t xml:space="preserve"> + Fehlerbereich der GF-Bilanz ( 0-5%)</t>
  </si>
  <si>
    <t xml:space="preserve"> =  GF-Produktion auf Futterfläche (dt TS) </t>
  </si>
  <si>
    <t>TS_Min</t>
  </si>
  <si>
    <t>TS_Max</t>
  </si>
  <si>
    <t>ZR-Schnitzel, siliert</t>
  </si>
  <si>
    <t>ZR-Schnitzel, getrocknet</t>
  </si>
  <si>
    <t>Heu/Emd (Dürrfutter)</t>
  </si>
  <si>
    <t>Mais-Ganzpflanzenwürfel</t>
  </si>
  <si>
    <t>Eingabe Beschränkung</t>
  </si>
  <si>
    <t>Bedingungen</t>
  </si>
  <si>
    <t>1 = trifft zu</t>
  </si>
  <si>
    <t>tief</t>
  </si>
  <si>
    <t>hoch</t>
  </si>
  <si>
    <t>%TS zu</t>
  </si>
  <si>
    <t>GF-Art</t>
  </si>
  <si>
    <t>fehlt</t>
  </si>
  <si>
    <t>Talzone</t>
  </si>
  <si>
    <t>Hügelzone</t>
  </si>
  <si>
    <t>Bergzone 1</t>
  </si>
  <si>
    <t>Bergzone 2</t>
  </si>
  <si>
    <t>Bergzone 3</t>
  </si>
  <si>
    <t>Bergzone 4</t>
  </si>
  <si>
    <t>Flächen im Ausland</t>
  </si>
  <si>
    <t xml:space="preserve">  - Wiesen- und Weidefutter</t>
  </si>
  <si>
    <t>+ Kunstwiesen</t>
  </si>
  <si>
    <t>Hilfsspalten für Berechnungen</t>
  </si>
  <si>
    <t>Vorgehen:</t>
  </si>
  <si>
    <t xml:space="preserve">    - Für Grund- und Kraftfutter während der Sömmerung gelten ebenfalls </t>
  </si>
  <si>
    <t>Anleitung</t>
  </si>
  <si>
    <t xml:space="preserve">    - Sömmerung: Anzahl zur Sömmerung gegebene Tiere und die Anz. Tage erfassen</t>
  </si>
  <si>
    <t xml:space="preserve">    - KF-Verzehr während Sömmerung nur möglich für gemolkene Tiere folgender Kategorien: </t>
  </si>
  <si>
    <t xml:space="preserve">        die Definitionen gemäss Anhang 5 DZV.</t>
  </si>
  <si>
    <t xml:space="preserve">    - Abhängig von der Gebietszuteilung wird angezeigt, ob die Mindestanteile an der Ration</t>
  </si>
  <si>
    <t xml:space="preserve">       erfüllt sind oder nicht. </t>
  </si>
  <si>
    <t>GVE</t>
  </si>
  <si>
    <r>
      <t xml:space="preserve">- Springen Sie mit der </t>
    </r>
    <r>
      <rPr>
        <b/>
        <i/>
        <sz val="10"/>
        <color indexed="10"/>
        <rFont val="Arial"/>
        <family val="2"/>
      </rPr>
      <t>Tabulator-Taste</t>
    </r>
    <r>
      <rPr>
        <b/>
        <sz val="10"/>
        <rFont val="Arial"/>
        <family val="2"/>
      </rPr>
      <t xml:space="preserve"> zu den "freien" (ungesperrten) Feldern und geben Sie die Daten ein.</t>
    </r>
  </si>
  <si>
    <r>
      <rPr>
        <b/>
        <sz val="8"/>
        <rFont val="Arial"/>
        <family val="2"/>
      </rPr>
      <t xml:space="preserve">Liste </t>
    </r>
    <r>
      <rPr>
        <sz val="8"/>
        <rFont val="Arial"/>
        <family val="2"/>
      </rPr>
      <t>(für Daten Gültigkeit)</t>
    </r>
  </si>
  <si>
    <r>
      <rPr>
        <b/>
        <sz val="8"/>
        <rFont val="Arial"/>
        <family val="2"/>
      </rPr>
      <t>Liste</t>
    </r>
    <r>
      <rPr>
        <sz val="8"/>
        <rFont val="Arial"/>
        <family val="2"/>
      </rPr>
      <t xml:space="preserve"> (für Daten Gültigkeit)</t>
    </r>
  </si>
  <si>
    <t>Sö-KF</t>
  </si>
  <si>
    <t>bildung</t>
  </si>
  <si>
    <t>Summen-</t>
  </si>
  <si>
    <t>kg KF/Einheit</t>
  </si>
  <si>
    <t>Spezifische Anforderungen des Programms</t>
  </si>
  <si>
    <t>1 Definition der Futtermittel und der Ration</t>
  </si>
  <si>
    <t>Auszug aus der Direktzahlungsverordnung (DZV) Anhang 5, Ziffer 1</t>
  </si>
  <si>
    <t>zur graslandbasierten Milch- und Fleischproduktion (GMF)</t>
  </si>
  <si>
    <t xml:space="preserve">      der Anteil Grundfutter in der Grundfutterbilanz eingerechnet werden. </t>
  </si>
  <si>
    <t>1.4 Liegt bei einem Futtermittel der Anteil an Grundfutter über 20 Prozent, so muss</t>
  </si>
  <si>
    <t xml:space="preserve">      kulturen zu Fütterungszwecken. </t>
  </si>
  <si>
    <t xml:space="preserve">      Erntegut von Dauerwiesen und Kunstwiesen sowie das Erntegut von Zwischen- </t>
  </si>
  <si>
    <t xml:space="preserve">       gelten als Maximalwerte für die Futterbilanz. Werden höhere Erträge geltend gemacht, so</t>
  </si>
  <si>
    <r>
      <t xml:space="preserve">1.2 Als </t>
    </r>
    <r>
      <rPr>
        <b/>
        <sz val="9"/>
        <color indexed="12"/>
        <rFont val="Arial"/>
        <family val="2"/>
      </rPr>
      <t xml:space="preserve">Wiesen- und Weidefutter </t>
    </r>
    <r>
      <rPr>
        <sz val="9"/>
        <color indexed="12"/>
        <rFont val="Arial"/>
        <family val="2"/>
      </rPr>
      <t xml:space="preserve">gilt das auf Weideflächen geweidete Futter und das </t>
    </r>
  </si>
  <si>
    <r>
      <t xml:space="preserve">1.3 Weitere nicht aufgezählte Futtermittel und Futterkomponenten gelten als </t>
    </r>
    <r>
      <rPr>
        <b/>
        <sz val="9"/>
        <color indexed="12"/>
        <rFont val="Arial"/>
        <family val="2"/>
      </rPr>
      <t>Ergänzungsfutter</t>
    </r>
    <r>
      <rPr>
        <sz val="9"/>
        <color indexed="12"/>
        <rFont val="Arial"/>
        <family val="2"/>
      </rPr>
      <t>.</t>
    </r>
  </si>
  <si>
    <r>
      <t xml:space="preserve">1.5 Die </t>
    </r>
    <r>
      <rPr>
        <b/>
        <sz val="9"/>
        <color indexed="12"/>
        <rFont val="Arial"/>
        <family val="2"/>
      </rPr>
      <t>Jahresration</t>
    </r>
    <r>
      <rPr>
        <sz val="9"/>
        <color indexed="12"/>
        <rFont val="Arial"/>
        <family val="2"/>
      </rPr>
      <t xml:space="preserve"> pro Tier entspricht dem </t>
    </r>
    <r>
      <rPr>
        <b/>
        <sz val="9"/>
        <color indexed="12"/>
        <rFont val="Arial"/>
        <family val="2"/>
      </rPr>
      <t>gesamten TS-Verzehr innerhalb eines Jahres</t>
    </r>
    <r>
      <rPr>
        <sz val="9"/>
        <color indexed="12"/>
        <rFont val="Arial"/>
        <family val="2"/>
      </rPr>
      <t>.</t>
    </r>
  </si>
  <si>
    <t>(Nicht-Grundfutter)</t>
  </si>
  <si>
    <t xml:space="preserve">  - Grundfutter</t>
  </si>
  <si>
    <t xml:space="preserve">leicht abweichen kann vom hier verwendeten. </t>
  </si>
  <si>
    <t>extensive</t>
  </si>
  <si>
    <t>wenig int.</t>
  </si>
  <si>
    <t xml:space="preserve">extensive </t>
  </si>
  <si>
    <t>RGVE</t>
  </si>
  <si>
    <t>2)</t>
  </si>
  <si>
    <t>1)</t>
  </si>
  <si>
    <t>mind. 90% Grundfutter an der Jahresration</t>
  </si>
  <si>
    <t>Talgebiet: mind. 75% Wiesen/Weidefutter an der Jahresration</t>
  </si>
  <si>
    <t>Berggebiet: mind. 85% Wiesen/Weidefutter an der Jahresration</t>
  </si>
  <si>
    <t>Erforderlicher Mindesttierbesatz für 100 % der GMF-Beiträge</t>
  </si>
  <si>
    <t>Anteile an der Jahresration</t>
  </si>
  <si>
    <t>Erfüllung</t>
  </si>
  <si>
    <t>Mindest-</t>
  </si>
  <si>
    <t>effektive</t>
  </si>
  <si>
    <t>Erfüllung des Mindesttierbesatzes (max. möglicher Anteil der GMF-Beiträge)</t>
  </si>
  <si>
    <t xml:space="preserve"> -&gt;   </t>
  </si>
  <si>
    <t>rund</t>
  </si>
  <si>
    <t>Angabe in Suisse-Bilanz</t>
  </si>
  <si>
    <t>Wiese</t>
  </si>
  <si>
    <t>/ha</t>
  </si>
  <si>
    <t>Link zum BLW (Informationen, Anforderungen)</t>
  </si>
  <si>
    <t>Anrech.BFF</t>
  </si>
  <si>
    <t>erford. Mindesttierbesatz RGVE</t>
  </si>
  <si>
    <t>Dauergrünfläche</t>
  </si>
  <si>
    <t>Dauergrünfläche als BFF</t>
  </si>
  <si>
    <t>Total Grünfläche</t>
  </si>
  <si>
    <t>RGVE/ha Grünfläche</t>
  </si>
  <si>
    <t>CHF / ha Grünfläche (bei 100% = 200 CHF)</t>
  </si>
  <si>
    <t xml:space="preserve">-  </t>
  </si>
  <si>
    <t>Höhenlage</t>
  </si>
  <si>
    <t>intensiv</t>
  </si>
  <si>
    <t>mittelintensiv</t>
  </si>
  <si>
    <t>wenig intensiv</t>
  </si>
  <si>
    <t>Max.-Erträge Wiesen (ab Tab.3)</t>
  </si>
  <si>
    <t>extensiv</t>
  </si>
  <si>
    <t>&lt; 600</t>
  </si>
  <si>
    <t>&gt; 1500</t>
  </si>
  <si>
    <t>Wiesen</t>
  </si>
  <si>
    <t>Weiden</t>
  </si>
  <si>
    <t>ext.</t>
  </si>
  <si>
    <t>Stufe</t>
  </si>
  <si>
    <t>max. Ertrag</t>
  </si>
  <si>
    <t>m.ü.M.</t>
  </si>
  <si>
    <t>Wegl. oder Gutachten</t>
  </si>
  <si>
    <t>Limite nach</t>
  </si>
  <si>
    <t>Hinweise zur Dateneingabe:</t>
  </si>
  <si>
    <t>Languri</t>
  </si>
  <si>
    <t>WW</t>
  </si>
  <si>
    <t>Ammonsalpeter</t>
  </si>
  <si>
    <t>interpoliert</t>
  </si>
  <si>
    <t>Zuschlag pro Meter</t>
  </si>
  <si>
    <t>unter 700</t>
  </si>
  <si>
    <t>unter 1100</t>
  </si>
  <si>
    <t>unter 1500</t>
  </si>
  <si>
    <t>Anz. Meter</t>
  </si>
  <si>
    <t>Korrektur Summe</t>
  </si>
  <si>
    <t>Höhenangabe Betrieb fehlt</t>
  </si>
  <si>
    <t>Hinweise (Anzeige unterhalb "Nährstofftransfer T")</t>
  </si>
  <si>
    <t>wenn Ertrag ext. Wiese über Limite</t>
  </si>
  <si>
    <t>wenn Ertrag wenig intensive Wiese über Limite</t>
  </si>
  <si>
    <t>wenn Ertrag intensive Wiese über Limite</t>
  </si>
  <si>
    <t>wenn Ertrag mittelintensive Wiese über Limite</t>
  </si>
  <si>
    <t>über Limite?</t>
  </si>
  <si>
    <t>wenn Ertrag ungedüngte Wiese über Limite</t>
  </si>
  <si>
    <t>wenn Ertrag ext. Weide über Limite</t>
  </si>
  <si>
    <t>Hinweis: Diese Tabelle weist keine automatischen Bezüge zur Tabelle "Suisse_Bilanz_…" auf.</t>
  </si>
  <si>
    <t xml:space="preserve">- Das Arbeitsblatt "Lineare Korrektur" dient der Berechnung des Nährstoffanfalls, sofern NPr-Futter nach Zusatzmodul 6 zu berücksichtigen ist. </t>
  </si>
  <si>
    <t xml:space="preserve">       - sind alle Tierbestände zutreffend aufgeführt (TVD-Auszug; Durchschnittsbestände übers Jahr) ?</t>
  </si>
  <si>
    <r>
      <t xml:space="preserve">- Bei den </t>
    </r>
    <r>
      <rPr>
        <b/>
        <sz val="10"/>
        <rFont val="Arial"/>
        <family val="2"/>
      </rPr>
      <t>Zweit- und Drittkulturen</t>
    </r>
    <r>
      <rPr>
        <sz val="10"/>
        <rFont val="Arial"/>
        <family val="2"/>
      </rPr>
      <t xml:space="preserve"> wird die Fläche nicht mehr zur LN aufgerechnet. Hier sind z.B. auch Gründüngungen (keine Futternutzung) einzutragen. </t>
    </r>
  </si>
  <si>
    <r>
      <t xml:space="preserve">-&gt; Mit Tab. "Suisse_Bilanz_..." (Seite 3) können </t>
    </r>
    <r>
      <rPr>
        <b/>
        <i/>
        <sz val="9"/>
        <color indexed="12"/>
        <rFont val="Arial"/>
        <family val="2"/>
      </rPr>
      <t>betriebsspezifische Durchschnitts-Gehalte</t>
    </r>
    <r>
      <rPr>
        <i/>
        <sz val="9"/>
        <color indexed="12"/>
        <rFont val="Arial"/>
        <family val="2"/>
      </rPr>
      <t xml:space="preserve"> berechnet werden!</t>
    </r>
  </si>
  <si>
    <t xml:space="preserve"> - die geplante weitere Zufuhr wird nicht automatisch in die Nährstoffbilanz übernommen</t>
  </si>
  <si>
    <t>1101 - 1500</t>
  </si>
  <si>
    <r>
      <t>Die zu produzierende Grundfuttermenge ist auf die einzelnen Kategorien und ihre Flächen zu</t>
    </r>
    <r>
      <rPr>
        <b/>
        <u/>
        <sz val="10"/>
        <color indexed="14"/>
        <rFont val="Arial"/>
        <family val="2"/>
      </rPr>
      <t xml:space="preserve"> verteilen</t>
    </r>
    <r>
      <rPr>
        <b/>
        <sz val="10"/>
        <color indexed="14"/>
        <rFont val="Arial"/>
        <family val="2"/>
      </rPr>
      <t>. Ausgehend von der Höhenlage des Betriebes</t>
    </r>
  </si>
  <si>
    <t xml:space="preserve">    nicht realistisch ist (z.B. über 135 bzw. unter 55 dt TS/ha, je nach Höhenlage), ist die Grundfutterrechnung gesamthaft zu überprüfen.</t>
  </si>
  <si>
    <r>
      <t xml:space="preserve">- in der Zeile der </t>
    </r>
    <r>
      <rPr>
        <b/>
        <sz val="10"/>
        <color indexed="12"/>
        <rFont val="Arial"/>
        <family val="2"/>
      </rPr>
      <t>intensiven Wiesen &amp; Weiden</t>
    </r>
    <r>
      <rPr>
        <b/>
        <sz val="10"/>
        <rFont val="Arial"/>
        <family val="2"/>
      </rPr>
      <t xml:space="preserve"> wird jeweils die </t>
    </r>
    <r>
      <rPr>
        <b/>
        <u/>
        <sz val="10"/>
        <rFont val="Arial"/>
        <family val="2"/>
      </rPr>
      <t>Rest-Menge</t>
    </r>
    <r>
      <rPr>
        <b/>
        <sz val="10"/>
        <rFont val="Arial"/>
        <family val="2"/>
      </rPr>
      <t xml:space="preserve"> angezeigt, welche noch zu produzieren ist. </t>
    </r>
  </si>
  <si>
    <r>
      <t xml:space="preserve">    Nach Eingabe der Fläche der intensiven Wiesen und Weiden wird der </t>
    </r>
    <r>
      <rPr>
        <b/>
        <sz val="10"/>
        <color indexed="12"/>
        <rFont val="Arial"/>
        <family val="2"/>
      </rPr>
      <t>mittlere Ertrag/ha</t>
    </r>
    <r>
      <rPr>
        <b/>
        <sz val="10"/>
        <rFont val="Arial"/>
        <family val="2"/>
      </rPr>
      <t xml:space="preserve"> berechnet</t>
    </r>
    <r>
      <rPr>
        <sz val="10"/>
        <rFont val="Arial"/>
        <family val="2"/>
      </rPr>
      <t>.</t>
    </r>
    <r>
      <rPr>
        <b/>
        <i/>
        <sz val="10"/>
        <color indexed="12"/>
        <rFont val="Arial"/>
        <family val="2"/>
      </rPr>
      <t xml:space="preserve"> Wenn dieser</t>
    </r>
  </si>
  <si>
    <t xml:space="preserve">                                                                                            auf dem Ganzjahresbetrieb) </t>
  </si>
  <si>
    <t xml:space="preserve">    zu Ziff. 1.3: Die verfütterte Milch (auch Schotte oder Magermilch oder Milchpulver) bei der Kälberaufzucht </t>
  </si>
  <si>
    <t>3.3 Die TS-Erträge für Wiesen und Weiden gemäss Tab. 3 der Wegleitung zur «Suisse-Bilanz»</t>
  </si>
  <si>
    <t>Kriterium:</t>
  </si>
  <si>
    <t>int.+mittelint. Wiese nicht interpoliert</t>
  </si>
  <si>
    <t>min. Ertrag</t>
  </si>
  <si>
    <t>min.</t>
  </si>
  <si>
    <t>int.Wiesen</t>
  </si>
  <si>
    <t>Tiefstwert für intensive Wiesen: nach Höhenlage 20-50 dt TS/ha</t>
  </si>
  <si>
    <t xml:space="preserve">   A)</t>
  </si>
  <si>
    <t xml:space="preserve">   B)</t>
  </si>
  <si>
    <t xml:space="preserve">nachstehend eine Kurz-Anleitung: </t>
  </si>
  <si>
    <r>
      <t>Tabulator-Taste -&gt; 1 Feld vorwärts</t>
    </r>
    <r>
      <rPr>
        <sz val="9"/>
        <rFont val="Arial"/>
        <family val="2"/>
      </rPr>
      <t xml:space="preserve">;   </t>
    </r>
    <r>
      <rPr>
        <sz val="9"/>
        <color indexed="10"/>
        <rFont val="Arial"/>
        <family val="2"/>
      </rPr>
      <t xml:space="preserve"> shift+Tabulator-Taste -&gt; 1 Feld zurück</t>
    </r>
  </si>
  <si>
    <t xml:space="preserve">    - Alle Tierarten mit Grundfutterverzehr erscheinen aufgelistet ab Blatt Suisse_Bilanz_...</t>
  </si>
  <si>
    <t xml:space="preserve">                        Milchkühe, Milchschafe und Ziegen. Effektive Menge eingeben.</t>
  </si>
  <si>
    <t>Ertrag Silomais &lt; 125% der intensiven Wiesen</t>
  </si>
  <si>
    <t>(ohne BFF)</t>
  </si>
  <si>
    <r>
      <t>oder</t>
    </r>
    <r>
      <rPr>
        <sz val="8"/>
        <rFont val="Arial Narrow"/>
        <family val="2"/>
      </rPr>
      <t xml:space="preserve"> übers Menü:</t>
    </r>
    <r>
      <rPr>
        <sz val="8"/>
        <color indexed="12"/>
        <rFont val="Arial Narrow"/>
        <family val="2"/>
      </rPr>
      <t xml:space="preserve"> </t>
    </r>
  </si>
  <si>
    <t xml:space="preserve"> zur Dateneingabe:</t>
  </si>
  <si>
    <t xml:space="preserve">  grün:  aus Liste wählen</t>
  </si>
  <si>
    <t xml:space="preserve">  gelb:   Daten eingeben</t>
  </si>
  <si>
    <t xml:space="preserve">  weiss (oder weitere Farbe):  Zelle gesperrt bzw. keine Dateneingabe</t>
  </si>
  <si>
    <t xml:space="preserve"> Datei &gt; Drucken &gt; Seiten …</t>
  </si>
  <si>
    <r>
      <t>oder</t>
    </r>
    <r>
      <rPr>
        <sz val="8"/>
        <rFont val="Arial Narrow"/>
        <family val="2"/>
      </rPr>
      <t xml:space="preserve"> übers Menü:</t>
    </r>
    <r>
      <rPr>
        <b/>
        <sz val="8"/>
        <color indexed="12"/>
        <rFont val="Arial Narrow"/>
        <family val="2"/>
      </rPr>
      <t xml:space="preserve">  Datei &gt; Drucken &gt; Seiten …</t>
    </r>
  </si>
  <si>
    <t xml:space="preserve">  Hell-Gelbe Zellen: Daten eingeben</t>
  </si>
  <si>
    <t xml:space="preserve">  grüne Zellen: Daten aus Liste auswählen</t>
  </si>
  <si>
    <r>
      <t xml:space="preserve">  weiss od. andere Farbe: gesperrt, keine </t>
    </r>
    <r>
      <rPr>
        <b/>
        <sz val="10"/>
        <rFont val="Arial Narrow"/>
        <family val="2"/>
      </rPr>
      <t xml:space="preserve">Dateneingabe </t>
    </r>
  </si>
  <si>
    <r>
      <t xml:space="preserve">  weiss od. andere Farbe: gesperrt, keine </t>
    </r>
    <r>
      <rPr>
        <b/>
        <sz val="8"/>
        <rFont val="Arial Narrow"/>
        <family val="2"/>
      </rPr>
      <t xml:space="preserve">Dateneingabe </t>
    </r>
  </si>
  <si>
    <t xml:space="preserve"> # Gräser-Reinsaaten: Es werden max. 180 dt TS/ha anerkannt, sofern sie lückenlos nachgewiesen werden (Grundfutterbilanz, Liste mit Grundfutter-Exporten (vgl. Wegleitung Kap. 2.10) oder andere Dokumente)</t>
  </si>
  <si>
    <t>weitere</t>
  </si>
  <si>
    <t>Flächen- und Zonen-Angaben für die Berechnung des Mindesttierbesatzes:</t>
  </si>
  <si>
    <t>Nährstoffverhältnisse</t>
  </si>
  <si>
    <r>
      <t>N</t>
    </r>
    <r>
      <rPr>
        <vertAlign val="subscript"/>
        <sz val="10"/>
        <rFont val="Arial Narrow"/>
        <family val="2"/>
      </rPr>
      <t>tot</t>
    </r>
  </si>
  <si>
    <r>
      <t>N</t>
    </r>
    <r>
      <rPr>
        <vertAlign val="subscript"/>
        <sz val="10"/>
        <rFont val="Arial Narrow"/>
        <family val="2"/>
      </rPr>
      <t>verf</t>
    </r>
  </si>
  <si>
    <r>
      <t xml:space="preserve">Kompost </t>
    </r>
    <r>
      <rPr>
        <sz val="11"/>
        <rFont val="Arial Narrow"/>
        <family val="2"/>
      </rPr>
      <t>(Grünabfuhr-)</t>
    </r>
  </si>
  <si>
    <t>Hennenmist (Kotgrube, Boden-</t>
  </si>
  <si>
    <t xml:space="preserve">                                      haltung)</t>
  </si>
  <si>
    <t xml:space="preserve">Vorhandene Raufutterverzehrer (inkl. Sömmerung) </t>
  </si>
  <si>
    <t>mukm</t>
  </si>
  <si>
    <t>Änd 1.13</t>
  </si>
  <si>
    <t>Bunt-/Rotationsbrache/</t>
  </si>
  <si>
    <t>zhu2</t>
  </si>
  <si>
    <t>Zuckerhut (600 kg/a, Convenience)</t>
  </si>
  <si>
    <r>
      <t xml:space="preserve">   dürfen die Erträge maximal denjenigen der intensiven Nutzung der jeweiligen Höhenlage entsprechen (siehe Wegleitung Tab. 3). Werden </t>
    </r>
    <r>
      <rPr>
        <b/>
        <u/>
        <sz val="10"/>
        <color indexed="14"/>
        <rFont val="Arial"/>
        <family val="2"/>
      </rPr>
      <t>höhere Erträge</t>
    </r>
  </si>
  <si>
    <r>
      <t xml:space="preserve">   Es steht die Wahl frei zwischen dem </t>
    </r>
    <r>
      <rPr>
        <b/>
        <sz val="10"/>
        <color indexed="8"/>
        <rFont val="Arial Narrow"/>
        <family val="2"/>
      </rPr>
      <t>3-Jahresdurchschnitt</t>
    </r>
    <r>
      <rPr>
        <sz val="10"/>
        <color indexed="8"/>
        <rFont val="Arial Narrow"/>
        <family val="2"/>
      </rPr>
      <t xml:space="preserve"> (</t>
    </r>
    <r>
      <rPr>
        <sz val="9"/>
        <color indexed="8"/>
        <rFont val="Arial Narrow"/>
        <family val="2"/>
      </rPr>
      <t>= Wiesenerträge im Mittel von 3 Jahren</t>
    </r>
    <r>
      <rPr>
        <sz val="10"/>
        <color indexed="8"/>
        <rFont val="Arial Narrow"/>
        <family val="2"/>
      </rPr>
      <t xml:space="preserve">) </t>
    </r>
    <r>
      <rPr>
        <u/>
        <sz val="10"/>
        <color indexed="8"/>
        <rFont val="Arial Narrow"/>
        <family val="2"/>
      </rPr>
      <t>oder</t>
    </r>
    <r>
      <rPr>
        <sz val="10"/>
        <color indexed="8"/>
        <rFont val="Arial Narrow"/>
        <family val="2"/>
      </rPr>
      <t xml:space="preserve"> dem </t>
    </r>
    <r>
      <rPr>
        <b/>
        <sz val="10"/>
        <color indexed="8"/>
        <rFont val="Arial Narrow"/>
        <family val="2"/>
      </rPr>
      <t>Jährlichkeitsprinzip</t>
    </r>
    <r>
      <rPr>
        <sz val="10"/>
        <color indexed="8"/>
        <rFont val="Arial Narrow"/>
        <family val="2"/>
      </rPr>
      <t xml:space="preserve">. Ein Wechsel ist frühestens nach 5 Jahren möglich. </t>
    </r>
  </si>
  <si>
    <r>
      <t xml:space="preserve">- </t>
    </r>
    <r>
      <rPr>
        <b/>
        <sz val="10"/>
        <color indexed="14"/>
        <rFont val="Arial"/>
        <family val="2"/>
      </rPr>
      <t xml:space="preserve">Die </t>
    </r>
    <r>
      <rPr>
        <b/>
        <u/>
        <sz val="10"/>
        <color indexed="14"/>
        <rFont val="Arial"/>
        <family val="2"/>
      </rPr>
      <t>Zu- und Wegfuhren von GF</t>
    </r>
    <r>
      <rPr>
        <b/>
        <sz val="10"/>
        <color indexed="14"/>
        <rFont val="Arial"/>
        <family val="2"/>
      </rPr>
      <t xml:space="preserve"> müssen lückenlos aufgezeigt werden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Arial Narrow"/>
        <family val="2"/>
      </rPr>
      <t>(Menge und Art des Futters, Lieferant bzw. Abnehmer, Datum, siehe Wegleitung 2.10)</t>
    </r>
    <r>
      <rPr>
        <b/>
        <sz val="10"/>
        <color indexed="8"/>
        <rFont val="Arial"/>
        <family val="2"/>
      </rPr>
      <t xml:space="preserve">. </t>
    </r>
  </si>
  <si>
    <t>Jahr:</t>
  </si>
  <si>
    <t>1.1.-31.12.</t>
  </si>
  <si>
    <t>Norm-Ansatz in kg/ha</t>
  </si>
  <si>
    <t>Raufutterverzehrer (x) A2:</t>
  </si>
  <si>
    <t xml:space="preserve">Gesamtverzehr Raufutterverzehrer A5: </t>
  </si>
  <si>
    <t>Teil D: Futtermengen (dt TS) und -anteile (%) am Futterbedarf der Raufutterverzehrer</t>
  </si>
  <si>
    <t xml:space="preserve">   übrige Tiere</t>
  </si>
  <si>
    <t>A4:</t>
  </si>
  <si>
    <r>
      <t xml:space="preserve">Die Berechnung der Höhe der Beiträge ist nur eine </t>
    </r>
    <r>
      <rPr>
        <b/>
        <u/>
        <sz val="8"/>
        <color indexed="62"/>
        <rFont val="Arial"/>
        <family val="2"/>
      </rPr>
      <t>Schätzung,</t>
    </r>
    <r>
      <rPr>
        <b/>
        <sz val="8"/>
        <color indexed="62"/>
        <rFont val="Arial"/>
        <family val="2"/>
      </rPr>
      <t xml:space="preserve"> weil der massgebende Tierbestand</t>
    </r>
  </si>
  <si>
    <t xml:space="preserve">   Knopf "Zeile für Übertrag I/E-Bilanz einfügen" eine Zeile einfügen, die das Eingeben der Nährstoffmengen direkt in den Spalten "Nährstoffanfall (kg/Jahr)" ermöglicht. </t>
  </si>
  <si>
    <t>BZ 1</t>
  </si>
  <si>
    <t>Titel Fehlerbereich</t>
  </si>
  <si>
    <t>BIO:</t>
  </si>
  <si>
    <t>ÖLN:</t>
  </si>
  <si>
    <t>- Beim BIO darf die Gesamtbilanz den Fehlerbereich bei N und P nicht überschreiten.</t>
  </si>
  <si>
    <t>Tal</t>
  </si>
  <si>
    <t>VHZ</t>
  </si>
  <si>
    <t>BZ 2</t>
  </si>
  <si>
    <t>BZ 3</t>
  </si>
  <si>
    <t>BZ 4</t>
  </si>
  <si>
    <t>BIO_DGVE_pro_ha</t>
  </si>
  <si>
    <t>- Beim ÖLN darf die Gesamtbilanz den Fehlerbereich bei N und P nicht überschreiten.</t>
  </si>
  <si>
    <t>Hinweise zu Gesamtbilanz/Fehlerbereich</t>
  </si>
  <si>
    <t xml:space="preserve">   Der Fehlerbereich beträgt in der Regel bei N und P 10% des Bedarfs (C), bei</t>
  </si>
  <si>
    <t xml:space="preserve">     Einzelbetriebliche Verfügung nach Direktzahlungsverordnung (Änderung 1.1.2002) bei Bauten mit Ausdehnung des Tierbestandes, DZV Art. 13 und Anhang 1</t>
  </si>
  <si>
    <t xml:space="preserve">    Einzelbetriebliche Verfügung nach Direktzahlungsverordnung (Änderung 1.1.2002) bei Bauten mit Ausdehnung des Tierbestandes, DZV Art. 13 und Anhang 1.</t>
  </si>
  <si>
    <r>
      <t>-</t>
    </r>
    <r>
      <rPr>
        <b/>
        <sz val="10"/>
        <color indexed="14"/>
        <rFont val="Arial"/>
        <family val="2"/>
      </rPr>
      <t xml:space="preserve"> I/E-Bilanz: </t>
    </r>
    <r>
      <rPr>
        <sz val="10"/>
        <color indexed="8"/>
        <rFont val="Arial"/>
        <family val="2"/>
      </rPr>
      <t xml:space="preserve">angemeldete Betriebe (siehe Wegleitung Modul 6 und 7), welche für Schweine (od. andere Tierkat.) eine </t>
    </r>
    <r>
      <rPr>
        <b/>
        <sz val="10"/>
        <color indexed="8"/>
        <rFont val="Arial"/>
        <family val="2"/>
      </rPr>
      <t xml:space="preserve">I/E-Bilanz </t>
    </r>
    <r>
      <rPr>
        <sz val="10"/>
        <color indexed="8"/>
        <rFont val="Arial"/>
        <family val="2"/>
      </rPr>
      <t>ausweisen, können durch Klicken auf den</t>
    </r>
  </si>
  <si>
    <t>"GF" Eintrag nötig, damit im GMF der Anteil Wiesen- &amp; Weidefutter eingetragen werden kann, ohne dass Zahl rot gefärbt wird</t>
  </si>
  <si>
    <t xml:space="preserve"> gemäss Modul 6/7 (Art, Menge, % TS des Futters, ...)</t>
  </si>
  <si>
    <t>- Maximal zulässige Nährstoffzufuhr (inkl. Fehlerbereich) (= positive Zahl), oder</t>
  </si>
  <si>
    <t>minimal notwendige Nährstoffwegfuhr (= negative Zahl).</t>
  </si>
  <si>
    <t>Standard-</t>
  </si>
  <si>
    <t>in SB</t>
  </si>
  <si>
    <t>für BIO-Variante</t>
  </si>
  <si>
    <t>BIO-Standard-</t>
  </si>
  <si>
    <t>in % REF-Ertrag</t>
  </si>
  <si>
    <t>Ertrag (Kt. TG)</t>
  </si>
  <si>
    <t>für</t>
  </si>
  <si>
    <t>Referenz-</t>
  </si>
  <si>
    <t>Ertrag für</t>
  </si>
  <si>
    <t>Berechnung</t>
  </si>
  <si>
    <t xml:space="preserve"> org. Handelsdünger</t>
  </si>
  <si>
    <t>bio</t>
  </si>
  <si>
    <t>BIO</t>
  </si>
  <si>
    <t xml:space="preserve">Vollgülle </t>
  </si>
  <si>
    <r>
      <t>N</t>
    </r>
    <r>
      <rPr>
        <b/>
        <vertAlign val="subscript"/>
        <sz val="10"/>
        <rFont val="Arial"/>
        <family val="2"/>
      </rPr>
      <t>verf</t>
    </r>
  </si>
  <si>
    <r>
      <t>N</t>
    </r>
    <r>
      <rPr>
        <vertAlign val="subscript"/>
        <sz val="10"/>
        <rFont val="Arial"/>
        <family val="2"/>
      </rPr>
      <t>lös</t>
    </r>
  </si>
  <si>
    <r>
      <t>N</t>
    </r>
    <r>
      <rPr>
        <b/>
        <vertAlign val="subscript"/>
        <sz val="10"/>
        <rFont val="Arial"/>
        <family val="2"/>
      </rPr>
      <t>tot</t>
    </r>
  </si>
  <si>
    <t>dt</t>
  </si>
  <si>
    <r>
      <t>P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O</t>
    </r>
    <r>
      <rPr>
        <vertAlign val="subscript"/>
        <sz val="8"/>
        <rFont val="Arial"/>
        <family val="2"/>
      </rPr>
      <t>5</t>
    </r>
  </si>
  <si>
    <t xml:space="preserve"> - pro g Gehalt</t>
  </si>
  <si>
    <t>- im Vgl. zu Standard</t>
  </si>
  <si>
    <t>g/kg</t>
  </si>
  <si>
    <t>MJ/kg</t>
  </si>
  <si>
    <t>GF-Verz.</t>
  </si>
  <si>
    <t>dt TS/Jahr</t>
  </si>
  <si>
    <t>kg pro Jahr</t>
  </si>
  <si>
    <t>Nährstoffanfall</t>
  </si>
  <si>
    <t>Änderung Anfall</t>
  </si>
  <si>
    <t>Aufteilung von N auf die Kategorien</t>
  </si>
  <si>
    <t xml:space="preserve">Abzug </t>
  </si>
  <si>
    <t>kg Nges</t>
  </si>
  <si>
    <t>Nicht VM</t>
  </si>
  <si>
    <t>a</t>
  </si>
  <si>
    <t>b</t>
  </si>
  <si>
    <t>Nv</t>
  </si>
  <si>
    <t>50-70</t>
  </si>
  <si>
    <t>20-30</t>
  </si>
  <si>
    <r>
      <t xml:space="preserve">eigenes verfütt. Rübenblatt </t>
    </r>
    <r>
      <rPr>
        <sz val="8"/>
        <rFont val="Arial"/>
        <family val="2"/>
      </rPr>
      <t>(15%TS)</t>
    </r>
  </si>
  <si>
    <t xml:space="preserve">- Nach einem ersten Durchgang ist die Grundfutterberechnung zu überprüfen: </t>
  </si>
  <si>
    <t>30-40</t>
  </si>
  <si>
    <t xml:space="preserve"> Pferde (Kategorie)</t>
  </si>
  <si>
    <t xml:space="preserve"> Schweine (Kategorie)</t>
  </si>
  <si>
    <t xml:space="preserve">       - sind alle Grundfutter-Flächen aufgeführt ?</t>
  </si>
  <si>
    <t>30-60</t>
  </si>
  <si>
    <t>Abzug "nicht verfügbarer Nges"</t>
  </si>
  <si>
    <t>a1</t>
  </si>
  <si>
    <t>a2</t>
  </si>
  <si>
    <t>a3</t>
  </si>
  <si>
    <t>Aufteilung</t>
  </si>
  <si>
    <t>c</t>
  </si>
  <si>
    <t>d</t>
  </si>
  <si>
    <t>e</t>
  </si>
  <si>
    <t>prop.a1</t>
  </si>
  <si>
    <t>g</t>
  </si>
  <si>
    <t>a3-d</t>
  </si>
  <si>
    <t>prop. c</t>
  </si>
  <si>
    <t>f =a+b+d</t>
  </si>
  <si>
    <t>"Anfall"</t>
  </si>
  <si>
    <t>prop. f</t>
  </si>
  <si>
    <t>prop. g</t>
  </si>
  <si>
    <t>prop.(f-e)</t>
  </si>
  <si>
    <t>h =f-g</t>
  </si>
  <si>
    <t>i</t>
  </si>
  <si>
    <t>j</t>
  </si>
  <si>
    <t>k</t>
  </si>
  <si>
    <t>l</t>
  </si>
  <si>
    <t>m</t>
  </si>
  <si>
    <t>n</t>
  </si>
  <si>
    <t xml:space="preserve">         Liste für Gemüse als 2.Kultur</t>
  </si>
  <si>
    <t>Positive Zahl = Nährstoffüberschuss; negative Zahl = Nährstoffmanko.</t>
  </si>
  <si>
    <t>Liste der Linearen Korrekturen (Modul 6)</t>
  </si>
  <si>
    <t xml:space="preserve">       - stimmen die Zufuhren (positive Zahlen) und Wegfuhren (negative Zahlen) von Grundfutter  (Belege ?,  Angaben in dt TS ?, ...)</t>
  </si>
  <si>
    <t>70-100</t>
  </si>
  <si>
    <t>mittelintensive Wiesen &amp; Weiden</t>
  </si>
  <si>
    <r>
      <t>IE Prod. Zibbe</t>
    </r>
    <r>
      <rPr>
        <sz val="10"/>
        <rFont val="Arial Narrow"/>
        <family val="2"/>
      </rPr>
      <t xml:space="preserve"> (inkl. Jungtiere bis ca. 35 d)</t>
    </r>
  </si>
  <si>
    <t xml:space="preserve">                   wurde nicht mehr ext. GF verkauft als produziert wird?  ... </t>
  </si>
  <si>
    <t>90-125</t>
  </si>
  <si>
    <t>intensive Wiesen &amp; Weiden</t>
  </si>
  <si>
    <t xml:space="preserve">Total Grundfutterproduktion: </t>
  </si>
  <si>
    <t>Total</t>
  </si>
  <si>
    <t>davon düngbar</t>
  </si>
  <si>
    <t>Name:</t>
  </si>
  <si>
    <t>Datum:</t>
  </si>
  <si>
    <t>Seite 2</t>
  </si>
  <si>
    <t>Stand.-</t>
  </si>
  <si>
    <r>
      <t>f</t>
    </r>
    <r>
      <rPr>
        <b/>
        <sz val="8"/>
        <rFont val="Arial"/>
        <family val="2"/>
      </rPr>
      <t xml:space="preserve"> FS-</t>
    </r>
  </si>
  <si>
    <t>Korrekturfaktoren</t>
  </si>
  <si>
    <t>ertrag</t>
  </si>
  <si>
    <t>nach Bodenanalysen</t>
  </si>
  <si>
    <t>Nährstoffbedarf (kg / Jahr)</t>
  </si>
  <si>
    <r>
      <t>Ackerkulturen</t>
    </r>
    <r>
      <rPr>
        <i/>
        <sz val="8"/>
        <rFont val="Arial"/>
        <family val="2"/>
      </rPr>
      <t>:</t>
    </r>
  </si>
  <si>
    <t xml:space="preserve">dt   </t>
  </si>
  <si>
    <t>P</t>
  </si>
  <si>
    <t>K</t>
  </si>
  <si>
    <t xml:space="preserve"> N</t>
  </si>
  <si>
    <t>Gemüsekulturen:</t>
  </si>
  <si>
    <t>Chicorée, Wurzelanbau</t>
  </si>
  <si>
    <t>chi</t>
  </si>
  <si>
    <t>sp1f</t>
  </si>
  <si>
    <t>(keine Düngung, kein Grundfutter)</t>
  </si>
  <si>
    <t>Dauerkulturen:</t>
  </si>
  <si>
    <t>Hecke/Streue/...</t>
  </si>
  <si>
    <t>Zweit-, Dritt- und Zwischenkulturen (nicht Grundfutter):</t>
  </si>
  <si>
    <t>-</t>
  </si>
  <si>
    <t>Feldobstbau:</t>
  </si>
  <si>
    <t>Stück</t>
  </si>
  <si>
    <t>hl</t>
  </si>
  <si>
    <t>str</t>
  </si>
  <si>
    <t>Stroh-, Rübenblatt-Wegfuhr:</t>
  </si>
  <si>
    <t>Sie setzen die Anzahl Obstbäume ein.</t>
  </si>
  <si>
    <t>rb</t>
  </si>
  <si>
    <t xml:space="preserve"> Acker- &amp; Spezialkulturen (ha): </t>
  </si>
  <si>
    <t>davon düngbare Fläche (ha):</t>
  </si>
  <si>
    <t xml:space="preserve"> =</t>
  </si>
  <si>
    <t>zist</t>
  </si>
  <si>
    <t>Winterhafer</t>
  </si>
  <si>
    <t>Sommerhafer</t>
  </si>
  <si>
    <t>Winterroggen (Populationssorten)</t>
  </si>
  <si>
    <t>Winterroggen (Hybridsorten)</t>
  </si>
  <si>
    <t>Raps Winter-</t>
  </si>
  <si>
    <t>527, 591</t>
  </si>
  <si>
    <t>526, 590</t>
  </si>
  <si>
    <t>531, 592</t>
  </si>
  <si>
    <t>Hofdü.</t>
  </si>
  <si>
    <t>dt Fasern</t>
  </si>
  <si>
    <t>dt TS Blätter</t>
  </si>
  <si>
    <t>Änd 1.8</t>
  </si>
  <si>
    <t>Mastpoulets (100 St.) -&gt; Umrechnung auf Plätze machen!</t>
  </si>
  <si>
    <t xml:space="preserve">   Cursor auf Zelle in entsprechender Spalte setzen, mit grauem Pfeil Liste anzeigen und die gewünschte Kategorie auswählen</t>
  </si>
  <si>
    <t>* diese Kategorien sind nur in spezifischen Betriebssituationen zutreffend (z.B. arbeitsteilige Tierhaltung); im Normalfall sind die anderen Kategorien zu verwenden.</t>
  </si>
  <si>
    <r>
      <t xml:space="preserve">  Aktuelle </t>
    </r>
    <r>
      <rPr>
        <b/>
        <sz val="8"/>
        <color indexed="12"/>
        <rFont val="Arial"/>
        <family val="2"/>
      </rPr>
      <t>Wegleitung Suisse-Bilanz</t>
    </r>
    <r>
      <rPr>
        <sz val="8"/>
        <color indexed="12"/>
        <rFont val="Arial"/>
        <family val="2"/>
      </rPr>
      <t xml:space="preserve"> verfügbar unter:</t>
    </r>
  </si>
  <si>
    <t>Nährstoffgehalt (kg / Einheit)</t>
  </si>
  <si>
    <t>mist-N</t>
  </si>
  <si>
    <r>
      <t>N</t>
    </r>
    <r>
      <rPr>
        <vertAlign val="subscript"/>
        <sz val="8"/>
        <rFont val="Arial"/>
        <family val="2"/>
      </rPr>
      <t>verf</t>
    </r>
  </si>
  <si>
    <t>ja/nein</t>
  </si>
  <si>
    <t xml:space="preserve"> -&gt; oben bei der Kategorie eingeben</t>
  </si>
  <si>
    <t>Anteile</t>
  </si>
  <si>
    <t xml:space="preserve">88% TS  </t>
  </si>
  <si>
    <t xml:space="preserve"> Mittelwerte</t>
  </si>
  <si>
    <t>Normierte mittlere Gehalte</t>
  </si>
  <si>
    <r>
      <t>Zu- und Wegfuhren von Hofdüngern</t>
    </r>
    <r>
      <rPr>
        <sz val="8"/>
        <rFont val="Arial"/>
        <family val="2"/>
      </rPr>
      <t xml:space="preserve"> (A3)</t>
    </r>
  </si>
  <si>
    <t xml:space="preserve"> Strohzukauf zum Einstreuen </t>
  </si>
  <si>
    <t>Tonnen</t>
  </si>
  <si>
    <t>IE Schweine</t>
  </si>
  <si>
    <t>iesc</t>
  </si>
  <si>
    <t>&gt; Kompost, Presswasser, Gärreste ...</t>
  </si>
  <si>
    <r>
      <t>übrige eingesetzte Dünger</t>
    </r>
    <r>
      <rPr>
        <sz val="8"/>
        <rFont val="Arial"/>
        <family val="2"/>
      </rPr>
      <t xml:space="preserve"> (D)</t>
    </r>
  </si>
  <si>
    <t>Basis =</t>
  </si>
  <si>
    <t>Gras</t>
  </si>
  <si>
    <t>Graswürfel</t>
  </si>
  <si>
    <t>Getreide-Ganzpflanzensilage</t>
  </si>
  <si>
    <t>Silomais</t>
  </si>
  <si>
    <t>Grünmais</t>
  </si>
  <si>
    <t>Rübenblätter</t>
  </si>
  <si>
    <t>Chicorée-Wurzeln</t>
  </si>
  <si>
    <t xml:space="preserve">                 Bei Pouletmast mit Auslauf ausserhalb von Stall und Aussenklimabereich können max. 180 "Laufhof-Tage" pro Jahr geltend gemacht werden, weil die Küken die ersten Lebenswochen im Stall verbringen.</t>
  </si>
  <si>
    <r>
      <t xml:space="preserve">- Bei den </t>
    </r>
    <r>
      <rPr>
        <b/>
        <sz val="10"/>
        <rFont val="Arial"/>
        <family val="2"/>
      </rPr>
      <t>Ackerkulturen</t>
    </r>
    <r>
      <rPr>
        <sz val="10"/>
        <rFont val="Arial"/>
        <family val="2"/>
      </rPr>
      <t xml:space="preserve"> setzen Sie</t>
    </r>
    <r>
      <rPr>
        <b/>
        <sz val="10"/>
        <rFont val="Arial"/>
        <family val="2"/>
      </rPr>
      <t xml:space="preserve"> </t>
    </r>
    <r>
      <rPr>
        <b/>
        <sz val="10"/>
        <color indexed="20"/>
        <rFont val="Arial"/>
        <family val="2"/>
      </rPr>
      <t>Ihre effektiven Durchschnittserträge der letzten 3 Jahre</t>
    </r>
    <r>
      <rPr>
        <sz val="10"/>
        <rFont val="Arial"/>
        <family val="2"/>
      </rPr>
      <t xml:space="preserve"> ein (</t>
    </r>
    <r>
      <rPr>
        <b/>
        <sz val="10"/>
        <rFont val="Arial"/>
        <family val="2"/>
      </rPr>
      <t>siehe Wegleitung 3.7</t>
    </r>
    <r>
      <rPr>
        <sz val="10"/>
        <rFont val="Arial"/>
        <family val="2"/>
      </rPr>
      <t>).</t>
    </r>
  </si>
  <si>
    <r>
      <t xml:space="preserve">- Beim </t>
    </r>
    <r>
      <rPr>
        <b/>
        <sz val="10"/>
        <rFont val="Arial"/>
        <family val="2"/>
      </rPr>
      <t>Feldobstbau</t>
    </r>
    <r>
      <rPr>
        <sz val="10"/>
        <rFont val="Arial"/>
        <family val="2"/>
      </rPr>
      <t xml:space="preserve"> wird von einem Ertrag von durchschnittlich 300 kg Obst pro Baum ausgegangen.</t>
    </r>
  </si>
  <si>
    <t xml:space="preserve">     Offene Ackerfläche, Kunstwiesen, Naturwiesen, Dauerkulturen, ökologische Ausgleichsflächen.</t>
  </si>
  <si>
    <r>
      <t xml:space="preserve">- Jetzt müssen Sie die Flächen kontrollieren, die </t>
    </r>
    <r>
      <rPr>
        <b/>
        <u/>
        <sz val="10"/>
        <color indexed="10"/>
        <rFont val="Arial"/>
        <family val="2"/>
      </rPr>
      <t>gesamte LN</t>
    </r>
    <r>
      <rPr>
        <b/>
        <sz val="10"/>
        <color indexed="10"/>
        <rFont val="Arial"/>
        <family val="2"/>
      </rPr>
      <t xml:space="preserve"> Ihres Betriebes muss erfasst sein:</t>
    </r>
  </si>
  <si>
    <t>* 0.15 =</t>
  </si>
  <si>
    <t>Gesamtbetrieb  pro Jahr</t>
  </si>
  <si>
    <t xml:space="preserve">je ha düngbare Fläche </t>
  </si>
  <si>
    <r>
      <t xml:space="preserve"> Anteil Vollmist-N</t>
    </r>
    <r>
      <rPr>
        <vertAlign val="subscript"/>
        <sz val="8"/>
        <rFont val="Arial"/>
        <family val="2"/>
      </rPr>
      <t>ges</t>
    </r>
  </si>
  <si>
    <t>* 0.12 =</t>
  </si>
  <si>
    <r>
      <t>N</t>
    </r>
    <r>
      <rPr>
        <b/>
        <vertAlign val="subscript"/>
        <sz val="8"/>
        <rFont val="Arial"/>
        <family val="2"/>
      </rPr>
      <t>verf</t>
    </r>
  </si>
  <si>
    <r>
      <t>P</t>
    </r>
    <r>
      <rPr>
        <b/>
        <vertAlign val="subscript"/>
        <sz val="8"/>
        <rFont val="Arial"/>
        <family val="2"/>
      </rPr>
      <t>2</t>
    </r>
    <r>
      <rPr>
        <b/>
        <sz val="8"/>
        <rFont val="Arial"/>
        <family val="2"/>
      </rPr>
      <t>O</t>
    </r>
    <r>
      <rPr>
        <b/>
        <vertAlign val="subscript"/>
        <sz val="8"/>
        <rFont val="Arial"/>
        <family val="2"/>
      </rPr>
      <t>5</t>
    </r>
  </si>
  <si>
    <r>
      <t>K</t>
    </r>
    <r>
      <rPr>
        <b/>
        <vertAlign val="subscript"/>
        <sz val="8"/>
        <rFont val="Arial"/>
        <family val="2"/>
      </rPr>
      <t>2</t>
    </r>
    <r>
      <rPr>
        <b/>
        <sz val="8"/>
        <rFont val="Arial"/>
        <family val="2"/>
      </rPr>
      <t>O</t>
    </r>
  </si>
  <si>
    <t xml:space="preserve">kg  </t>
  </si>
  <si>
    <t>kg/ha</t>
  </si>
  <si>
    <t xml:space="preserve">    Nährstoffe aus Tierhaltung</t>
  </si>
  <si>
    <r>
      <t xml:space="preserve">  - Gesamtnährstoffbedarf des Betriebes  </t>
    </r>
    <r>
      <rPr>
        <sz val="8"/>
        <rFont val="Arial"/>
        <family val="2"/>
      </rPr>
      <t>(=100%)</t>
    </r>
  </si>
  <si>
    <t xml:space="preserve"> =  Zwischenbilanz:  Eigenversorgung</t>
  </si>
  <si>
    <t xml:space="preserve">Max.Zufuhr(+)  bzw.  min.Wegfuhr(-) </t>
  </si>
  <si>
    <t>G'Bilanz</t>
  </si>
  <si>
    <t xml:space="preserve"> +  Saldo Zu- und Wegfuhr</t>
  </si>
  <si>
    <t>C</t>
  </si>
  <si>
    <r>
      <t xml:space="preserve"> Flüssige Vergärungsprodukte </t>
    </r>
    <r>
      <rPr>
        <sz val="8"/>
        <rFont val="Arial"/>
        <family val="2"/>
      </rPr>
      <t>(E1)</t>
    </r>
  </si>
  <si>
    <r>
      <t xml:space="preserve"> Feste Vergärungsprodukte </t>
    </r>
    <r>
      <rPr>
        <sz val="8"/>
        <rFont val="Arial"/>
        <family val="2"/>
      </rPr>
      <t>(E2)</t>
    </r>
  </si>
  <si>
    <t>rechnen?</t>
  </si>
  <si>
    <t>N-Ausnutzungsgrad unverg. Hofdünger</t>
  </si>
  <si>
    <r>
      <t xml:space="preserve">betriebsspezif. N-Ausnutzungsgrad </t>
    </r>
    <r>
      <rPr>
        <sz val="8"/>
        <rFont val="Arial"/>
        <family val="2"/>
      </rPr>
      <t>(</t>
    </r>
    <r>
      <rPr>
        <sz val="8"/>
        <rFont val="Arial Narrow"/>
        <family val="2"/>
      </rPr>
      <t>A2,A3</t>
    </r>
    <r>
      <rPr>
        <sz val="8"/>
        <rFont val="Arial"/>
        <family val="2"/>
      </rPr>
      <t>)</t>
    </r>
    <r>
      <rPr>
        <b/>
        <sz val="8"/>
        <rFont val="Arial"/>
        <family val="2"/>
      </rPr>
      <t>:</t>
    </r>
  </si>
  <si>
    <t xml:space="preserve"> Kompost</t>
  </si>
  <si>
    <t xml:space="preserve">kg pro Einheit </t>
  </si>
  <si>
    <t xml:space="preserve"> -  Nährstofftransfer für Futter von ungedüngten Wiesen</t>
  </si>
  <si>
    <t>T</t>
  </si>
  <si>
    <t>Kleinanlagen (&lt;20 a) mit verschiedenen Obstkulturen</t>
  </si>
  <si>
    <t>Ziersträucher, Ziergehölze, Zierstauden</t>
  </si>
  <si>
    <t xml:space="preserve"> =  Gesamtbilanz</t>
  </si>
  <si>
    <t>(+ = Ueberschuss)</t>
  </si>
  <si>
    <t>(ja/nein)</t>
  </si>
  <si>
    <r>
      <t>Max. Fehlerbereich für N und P</t>
    </r>
    <r>
      <rPr>
        <i/>
        <vertAlign val="subscript"/>
        <sz val="9"/>
        <color indexed="12"/>
        <rFont val="Arial"/>
        <family val="2"/>
      </rPr>
      <t>2</t>
    </r>
    <r>
      <rPr>
        <i/>
        <sz val="9"/>
        <color indexed="12"/>
        <rFont val="Arial"/>
        <family val="2"/>
      </rPr>
      <t>O</t>
    </r>
    <r>
      <rPr>
        <i/>
        <vertAlign val="subscript"/>
        <sz val="9"/>
        <color indexed="12"/>
        <rFont val="Arial"/>
        <family val="2"/>
      </rPr>
      <t>5</t>
    </r>
    <r>
      <rPr>
        <i/>
        <sz val="9"/>
        <color indexed="12"/>
        <rFont val="Arial"/>
        <family val="2"/>
      </rPr>
      <t xml:space="preserve"> </t>
    </r>
  </si>
  <si>
    <t>F</t>
  </si>
  <si>
    <r>
      <t xml:space="preserve">max. mögl. Düngung </t>
    </r>
    <r>
      <rPr>
        <sz val="8"/>
        <rFont val="Arial"/>
        <family val="2"/>
      </rPr>
      <t xml:space="preserve">(inkl. F) </t>
    </r>
    <r>
      <rPr>
        <b/>
        <sz val="8"/>
        <rFont val="Arial"/>
        <family val="2"/>
      </rPr>
      <t>:</t>
    </r>
  </si>
  <si>
    <t>Liter</t>
  </si>
  <si>
    <r>
      <t>m</t>
    </r>
    <r>
      <rPr>
        <vertAlign val="superscript"/>
        <sz val="10"/>
        <rFont val="Arial"/>
        <family val="2"/>
      </rPr>
      <t>3</t>
    </r>
  </si>
  <si>
    <t>für Daten Gültigkeit Liste</t>
  </si>
  <si>
    <t>total gedüngt:</t>
  </si>
  <si>
    <t>Unterschrift Betriebsleiter:</t>
  </si>
  <si>
    <t xml:space="preserve">BASISTABELLE: </t>
  </si>
  <si>
    <t>Hofdüngerarten:   Mengen pro Vieheinheit und Nährstoffanteile in der Gülle</t>
  </si>
  <si>
    <t>HOFDÜNGERANFALL</t>
  </si>
  <si>
    <t>Seite 3</t>
  </si>
  <si>
    <t>Zeilen</t>
  </si>
  <si>
    <t>Code</t>
  </si>
  <si>
    <t>Tier-</t>
  </si>
  <si>
    <t>Rindvieh</t>
  </si>
  <si>
    <t>Rindv., Pferde</t>
  </si>
  <si>
    <t>Schweine</t>
  </si>
  <si>
    <t>Geflügel</t>
  </si>
  <si>
    <t>Hofdüngerarten nach Tierkategorien und Aufstallungssystemen</t>
  </si>
  <si>
    <t>- Zur Berechnung des Hofdüngeranfalles müssen bei den einzelnen Tierkategorien</t>
  </si>
  <si>
    <t>arten</t>
  </si>
  <si>
    <t>Pferde</t>
  </si>
  <si>
    <t>Scha,Zi,Kan</t>
  </si>
  <si>
    <t xml:space="preserve">die Hofdüngerarten nach Aufstallungssystem gemäss der Liste links als </t>
  </si>
  <si>
    <t>Hofdünger-</t>
  </si>
  <si>
    <t>Vollgülle</t>
  </si>
  <si>
    <t>Vollgülle +</t>
  </si>
  <si>
    <t>kotreiche Gülle</t>
  </si>
  <si>
    <t>kotarme Gülle</t>
  </si>
  <si>
    <t>Harngülle</t>
  </si>
  <si>
    <t>keine Gülle</t>
  </si>
  <si>
    <t>Hennenkot</t>
  </si>
  <si>
    <t>Geflügelmist</t>
  </si>
  <si>
    <t>Tierart</t>
  </si>
  <si>
    <t>Hofdüngerart, Aufstallung</t>
  </si>
  <si>
    <t xml:space="preserve">Zahlencodes eingegeben werden. </t>
  </si>
  <si>
    <t>kein Mist</t>
  </si>
  <si>
    <t>Laufstallmist</t>
  </si>
  <si>
    <t xml:space="preserve"> + wenig Mist</t>
  </si>
  <si>
    <t xml:space="preserve"> + mittel Mist</t>
  </si>
  <si>
    <t xml:space="preserve"> + viel Mist</t>
  </si>
  <si>
    <t>+ Mist</t>
  </si>
  <si>
    <t>Kotband</t>
  </si>
  <si>
    <t>Bodenhaltung</t>
  </si>
  <si>
    <t>in Güllegrube</t>
  </si>
  <si>
    <t>Vollgülle, kein Mist: Gitterrost,</t>
  </si>
  <si>
    <t>Gemüse</t>
  </si>
  <si>
    <t>Dauerkulturen</t>
  </si>
  <si>
    <t xml:space="preserve">          GH = Gewächshaus+Hochtunnel</t>
  </si>
  <si>
    <r>
      <t xml:space="preserve">Z.B. Milchkühe im Anbindestall mit Schwemmentmistung produzieren Vollgülle: </t>
    </r>
    <r>
      <rPr>
        <sz val="10"/>
        <color indexed="10"/>
        <rFont val="Arial"/>
        <family val="2"/>
      </rPr>
      <t xml:space="preserve">Code = </t>
    </r>
    <r>
      <rPr>
        <b/>
        <sz val="10"/>
        <color indexed="10"/>
        <rFont val="Arial"/>
        <family val="2"/>
      </rPr>
      <t>1</t>
    </r>
  </si>
  <si>
    <t>m3 Gülle</t>
  </si>
  <si>
    <t>Spaltenboden oder Schieber</t>
  </si>
  <si>
    <t>keine Mistproduktion</t>
  </si>
  <si>
    <t>t Mist</t>
  </si>
  <si>
    <t>Vollgülle + Laufstallmist</t>
  </si>
  <si>
    <t>Gülle + Mist</t>
  </si>
  <si>
    <t xml:space="preserve"> - Bei Gülle und Mist können je 3 separate Lagerstätten als Nr. 1, 2 oder 3 gewählt werden.</t>
  </si>
  <si>
    <t>Nges %</t>
  </si>
  <si>
    <t>Tiefstreu und Fressplatz</t>
  </si>
  <si>
    <t>Einstreustall mit Kotgang</t>
  </si>
  <si>
    <t>Nverf %</t>
  </si>
  <si>
    <t>kotreiche Gülle + wenig Mist</t>
  </si>
  <si>
    <t>Vollmist</t>
  </si>
  <si>
    <t>Je nach dem wird dann pro Grube oder Stock die Gesamtmenge</t>
  </si>
  <si>
    <t>nein</t>
  </si>
  <si>
    <r>
      <t xml:space="preserve">      -   </t>
    </r>
    <r>
      <rPr>
        <b/>
        <sz val="10"/>
        <color indexed="12"/>
        <rFont val="Arial"/>
        <family val="2"/>
      </rPr>
      <t>0</t>
    </r>
    <r>
      <rPr>
        <sz val="10"/>
        <color indexed="12"/>
        <rFont val="Arial"/>
        <family val="2"/>
      </rPr>
      <t xml:space="preserve"> </t>
    </r>
    <r>
      <rPr>
        <sz val="10"/>
        <rFont val="Arial"/>
        <family val="2"/>
      </rPr>
      <t xml:space="preserve">ein (oder leer lassen), wenn </t>
    </r>
    <r>
      <rPr>
        <sz val="10"/>
        <color indexed="12"/>
        <rFont val="Arial"/>
        <family val="2"/>
      </rPr>
      <t>nur Vollgülle</t>
    </r>
    <r>
      <rPr>
        <sz val="10"/>
        <rFont val="Arial"/>
        <family val="2"/>
      </rPr>
      <t xml:space="preserve">, </t>
    </r>
    <r>
      <rPr>
        <sz val="10"/>
        <color indexed="12"/>
        <rFont val="Arial"/>
        <family val="2"/>
      </rPr>
      <t>Gülle + Sapelmist</t>
    </r>
    <r>
      <rPr>
        <sz val="10"/>
        <rFont val="Arial"/>
        <family val="2"/>
      </rPr>
      <t xml:space="preserve">  oder  </t>
    </r>
    <r>
      <rPr>
        <sz val="10"/>
        <color indexed="12"/>
        <rFont val="Arial"/>
        <family val="2"/>
      </rPr>
      <t>Gülle + weniger als 10% Vollmist</t>
    </r>
    <r>
      <rPr>
        <sz val="10"/>
        <rFont val="Arial"/>
        <family val="2"/>
      </rPr>
      <t xml:space="preserve"> anfallen. </t>
    </r>
  </si>
  <si>
    <r>
      <t xml:space="preserve">      -  </t>
    </r>
    <r>
      <rPr>
        <b/>
        <sz val="10"/>
        <color indexed="20"/>
        <rFont val="Arial"/>
        <family val="2"/>
      </rPr>
      <t>50</t>
    </r>
    <r>
      <rPr>
        <sz val="10"/>
        <rFont val="Arial"/>
        <family val="2"/>
      </rPr>
      <t xml:space="preserve"> ein, wenn die Tiere im </t>
    </r>
    <r>
      <rPr>
        <u/>
        <sz val="10"/>
        <rFont val="Arial"/>
        <family val="2"/>
      </rPr>
      <t>Zweiraumlaufstall</t>
    </r>
    <r>
      <rPr>
        <sz val="10"/>
        <rFont val="Arial"/>
        <family val="2"/>
      </rPr>
      <t xml:space="preserve">   </t>
    </r>
    <r>
      <rPr>
        <u/>
        <sz val="10"/>
        <color indexed="20"/>
        <rFont val="Arial"/>
        <family val="2"/>
      </rPr>
      <t>Tiefstreu-Laufstallmist</t>
    </r>
    <r>
      <rPr>
        <sz val="10"/>
        <rFont val="Arial"/>
        <family val="2"/>
      </rPr>
      <t xml:space="preserve"> (keine Gülle)</t>
    </r>
    <r>
      <rPr>
        <sz val="10"/>
        <color indexed="20"/>
        <rFont val="Arial"/>
        <family val="2"/>
      </rPr>
      <t xml:space="preserve"> + Vollgülle</t>
    </r>
    <r>
      <rPr>
        <sz val="10"/>
        <rFont val="Arial"/>
        <family val="2"/>
      </rPr>
      <t xml:space="preserve"> </t>
    </r>
  </si>
  <si>
    <r>
      <t xml:space="preserve">                         </t>
    </r>
    <r>
      <rPr>
        <sz val="10"/>
        <rFont val="Arial"/>
        <family val="2"/>
      </rPr>
      <t>produzieren (alle Systeme mit 10 - 90% Vollmist).</t>
    </r>
  </si>
  <si>
    <t>Vollmist Zu-, Wegfuhr</t>
  </si>
  <si>
    <t>kg / Jahr / Einheit</t>
  </si>
  <si>
    <t xml:space="preserve"> im Vgl. zur Norm</t>
  </si>
  <si>
    <t>henbk</t>
  </si>
  <si>
    <t>P2O5 %</t>
  </si>
  <si>
    <t>viel Kot abgeschorrt</t>
  </si>
  <si>
    <t>Tiefstreulaufstall</t>
  </si>
  <si>
    <t>Einschränkungen zur Grundfutterrechnung:</t>
  </si>
  <si>
    <t>und der durchschnittliche Gehalt berechnet.</t>
  </si>
  <si>
    <t>K2O %</t>
  </si>
  <si>
    <t>kotarme Gülle + mittel Mist</t>
  </si>
  <si>
    <t>Mg %</t>
  </si>
  <si>
    <t>mittlere Menge Kot abgeschorrt</t>
  </si>
  <si>
    <t>Volierenhaltung mit Kotband</t>
  </si>
  <si>
    <t>kg Futter</t>
  </si>
  <si>
    <t xml:space="preserve">  Futtergehalte für die Tierkategorie</t>
  </si>
  <si>
    <t xml:space="preserve">  Berechnung der durchschnittlichen</t>
  </si>
  <si>
    <t>- Bei den einzelnen Güllegruben muss die effektive Güllemenge pro Jahr eingegeben werden.</t>
  </si>
  <si>
    <t>Rindvieh, Pferde</t>
  </si>
  <si>
    <t>Harngülle + viel Mist</t>
  </si>
  <si>
    <t>Stickstoff</t>
  </si>
  <si>
    <t>Phosphat</t>
  </si>
  <si>
    <t>Kali</t>
  </si>
  <si>
    <t>Magnesium</t>
  </si>
  <si>
    <t>Calcium</t>
  </si>
  <si>
    <t>Am besten schätzt man durch Erhebungen (Hofdüngerrapport)</t>
  </si>
  <si>
    <t>kein Kot abgeschorrt</t>
  </si>
  <si>
    <t>für Ber.</t>
  </si>
  <si>
    <t>Tiefstreu, Kotgrube, Schräggitter</t>
  </si>
  <si>
    <t>die jährliche Gesamtmenge an Gülle ein.</t>
  </si>
  <si>
    <t>Rindvieh, Pferde,</t>
  </si>
  <si>
    <t>nur Laufstallmist, keine Gülle</t>
  </si>
  <si>
    <t>Geflügelmist in Güllegrube eingemischt</t>
  </si>
  <si>
    <r>
      <t xml:space="preserve">- Bei Tieren, die zeitweise im </t>
    </r>
    <r>
      <rPr>
        <b/>
        <sz val="10"/>
        <color indexed="33"/>
        <rFont val="Arial"/>
        <family val="2"/>
      </rPr>
      <t>Laufhof</t>
    </r>
    <r>
      <rPr>
        <sz val="10"/>
        <rFont val="Arial"/>
        <family val="2"/>
      </rPr>
      <t xml:space="preserve"> sind, geben Sie die </t>
    </r>
    <r>
      <rPr>
        <sz val="10"/>
        <color indexed="14"/>
        <rFont val="Arial"/>
        <family val="2"/>
      </rPr>
      <t xml:space="preserve">Anzahl Tage pro Jahr </t>
    </r>
    <r>
      <rPr>
        <sz val="10"/>
        <rFont val="Arial"/>
        <family val="2"/>
      </rPr>
      <t>ein (10% des Tagesanfalls fallen im Laufhof an).</t>
    </r>
  </si>
  <si>
    <r>
      <t xml:space="preserve">- Bei Tieren, die zeitweise auf der </t>
    </r>
    <r>
      <rPr>
        <b/>
        <sz val="10"/>
        <color indexed="17"/>
        <rFont val="Arial"/>
        <family val="2"/>
      </rPr>
      <t>Weide</t>
    </r>
    <r>
      <rPr>
        <sz val="10"/>
        <color indexed="50"/>
        <rFont val="Arial"/>
        <family val="2"/>
      </rPr>
      <t xml:space="preserve"> </t>
    </r>
    <r>
      <rPr>
        <sz val="10"/>
        <rFont val="Arial"/>
        <family val="2"/>
      </rPr>
      <t xml:space="preserve">sind, geben Sie die </t>
    </r>
    <r>
      <rPr>
        <sz val="10"/>
        <color indexed="17"/>
        <rFont val="Arial"/>
        <family val="2"/>
      </rPr>
      <t>Stunden pro Tag [Std./T.] und die Tage pro Jahr [Tage/J.]</t>
    </r>
    <r>
      <rPr>
        <sz val="10"/>
        <rFont val="Arial"/>
        <family val="2"/>
      </rPr>
      <t xml:space="preserve"> an  (nur Zeiten auf dem Betrieb ohne Alpung)</t>
    </r>
  </si>
  <si>
    <t>Winterweizen (Brot- und Biskuit)</t>
  </si>
  <si>
    <t>Schafe, Ziegen, Kaninchen, Hirsche</t>
  </si>
  <si>
    <t xml:space="preserve"> Miststock: Nr. 1, 2 oder 3 einsetzen</t>
  </si>
  <si>
    <t>Berechnungstabelle</t>
  </si>
  <si>
    <t>Aufstal</t>
  </si>
  <si>
    <t>Gülle-</t>
  </si>
  <si>
    <t>Mist-</t>
  </si>
  <si>
    <t>Korrigierter Nährstoffanfall</t>
  </si>
  <si>
    <t>Gülleanfall in Grube 1</t>
  </si>
  <si>
    <t>Gülleanfall in Grube 2</t>
  </si>
  <si>
    <t>Gülleanfall in Grube 3</t>
  </si>
  <si>
    <t>Mistanfall Stock 1</t>
  </si>
  <si>
    <t>Mistanfall Stock 2</t>
  </si>
  <si>
    <t>Mistanfall Stock 3</t>
  </si>
  <si>
    <t>Tierkategorien</t>
  </si>
  <si>
    <t>Korrig.</t>
  </si>
  <si>
    <t>grube</t>
  </si>
  <si>
    <t>stock</t>
  </si>
  <si>
    <t>(kg pro Jahr)</t>
  </si>
  <si>
    <t>kg Nährstoffe</t>
  </si>
  <si>
    <t>Einh.</t>
  </si>
  <si>
    <r>
      <t>N</t>
    </r>
    <r>
      <rPr>
        <b/>
        <vertAlign val="subscript"/>
        <sz val="8"/>
        <color indexed="8"/>
        <rFont val="Arial"/>
        <family val="2"/>
      </rPr>
      <t>ges</t>
    </r>
  </si>
  <si>
    <r>
      <t>N</t>
    </r>
    <r>
      <rPr>
        <b/>
        <vertAlign val="subscript"/>
        <sz val="8"/>
        <color indexed="8"/>
        <rFont val="Arial"/>
        <family val="2"/>
      </rPr>
      <t>verf</t>
    </r>
  </si>
  <si>
    <r>
      <t>P</t>
    </r>
    <r>
      <rPr>
        <b/>
        <vertAlign val="subscript"/>
        <sz val="8"/>
        <color indexed="8"/>
        <rFont val="Arial"/>
        <family val="2"/>
      </rPr>
      <t>2</t>
    </r>
    <r>
      <rPr>
        <b/>
        <sz val="8"/>
        <color indexed="8"/>
        <rFont val="Arial"/>
        <family val="2"/>
      </rPr>
      <t>O</t>
    </r>
    <r>
      <rPr>
        <b/>
        <vertAlign val="subscript"/>
        <sz val="8"/>
        <color indexed="8"/>
        <rFont val="Arial"/>
        <family val="2"/>
      </rPr>
      <t>5</t>
    </r>
  </si>
  <si>
    <r>
      <t>K</t>
    </r>
    <r>
      <rPr>
        <b/>
        <vertAlign val="subscript"/>
        <sz val="8"/>
        <color indexed="8"/>
        <rFont val="Arial"/>
        <family val="2"/>
      </rPr>
      <t>2</t>
    </r>
    <r>
      <rPr>
        <b/>
        <sz val="8"/>
        <color indexed="8"/>
        <rFont val="Arial"/>
        <family val="2"/>
      </rPr>
      <t>O</t>
    </r>
  </si>
  <si>
    <t>m3</t>
  </si>
  <si>
    <t>Nges</t>
  </si>
  <si>
    <t>Nverf</t>
  </si>
  <si>
    <t>P2O5</t>
  </si>
  <si>
    <t>K2O</t>
  </si>
  <si>
    <t>t</t>
  </si>
  <si>
    <t xml:space="preserve">  kg:</t>
  </si>
  <si>
    <r>
      <t xml:space="preserve">Total in den eigenen Hofdüngern (Mist und Gülle, </t>
    </r>
    <r>
      <rPr>
        <sz val="9"/>
        <rFont val="Arial"/>
        <family val="2"/>
      </rPr>
      <t>ohne Stroh</t>
    </r>
    <r>
      <rPr>
        <b/>
        <sz val="9"/>
        <rFont val="Arial"/>
        <family val="2"/>
      </rPr>
      <t>):</t>
    </r>
  </si>
  <si>
    <t>Gehalte (kg/m3 , kg/t)</t>
  </si>
  <si>
    <t>Nährstoffmengen</t>
  </si>
  <si>
    <t>Junghennen (100 Stk.)</t>
  </si>
  <si>
    <t>Masttruten (100 St.)</t>
  </si>
  <si>
    <r>
      <t>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, t</t>
    </r>
  </si>
  <si>
    <t>Schweinegülle zugeführt</t>
  </si>
  <si>
    <t>na. Futter</t>
  </si>
  <si>
    <t>abz. naF</t>
  </si>
  <si>
    <t>L'hof</t>
  </si>
  <si>
    <t>max. Nv Betrieb</t>
  </si>
  <si>
    <t>Rest</t>
  </si>
  <si>
    <t>Stroh (t)</t>
  </si>
  <si>
    <t>Total:</t>
  </si>
  <si>
    <t>ANFALL UND GEHALT VON GÜLLE UND MIST</t>
  </si>
  <si>
    <t>Wasser-</t>
  </si>
  <si>
    <t>Totale</t>
  </si>
  <si>
    <t>Nährstoffgehalt</t>
  </si>
  <si>
    <t>unverd.</t>
  </si>
  <si>
    <t>zusatz</t>
  </si>
  <si>
    <t xml:space="preserve"> Menge</t>
  </si>
  <si>
    <t>Ver-</t>
  </si>
  <si>
    <t>(kg pro Einheit)</t>
  </si>
  <si>
    <t>(kg pro Grube bzw. Stock)</t>
  </si>
  <si>
    <t>Gülle</t>
  </si>
  <si>
    <r>
      <t>m</t>
    </r>
    <r>
      <rPr>
        <vertAlign val="superscript"/>
        <sz val="9"/>
        <rFont val="Arial"/>
        <family val="2"/>
      </rPr>
      <t>3</t>
    </r>
  </si>
  <si>
    <r>
      <t>m</t>
    </r>
    <r>
      <rPr>
        <b/>
        <vertAlign val="superscript"/>
        <sz val="9"/>
        <rFont val="Arial"/>
        <family val="2"/>
      </rPr>
      <t>3</t>
    </r>
  </si>
  <si>
    <t>dünn.</t>
  </si>
  <si>
    <r>
      <t>N</t>
    </r>
    <r>
      <rPr>
        <b/>
        <vertAlign val="subscript"/>
        <sz val="9"/>
        <rFont val="Arial"/>
        <family val="2"/>
      </rPr>
      <t>ges</t>
    </r>
  </si>
  <si>
    <r>
      <t>N</t>
    </r>
    <r>
      <rPr>
        <b/>
        <vertAlign val="subscript"/>
        <sz val="9"/>
        <rFont val="Arial"/>
        <family val="2"/>
      </rPr>
      <t>verf</t>
    </r>
  </si>
  <si>
    <r>
      <t>P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>O</t>
    </r>
    <r>
      <rPr>
        <b/>
        <vertAlign val="subscript"/>
        <sz val="10"/>
        <rFont val="Arial"/>
        <family val="2"/>
      </rPr>
      <t>5</t>
    </r>
  </si>
  <si>
    <r>
      <t>K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>O</t>
    </r>
  </si>
  <si>
    <t>Mist</t>
  </si>
  <si>
    <t>Stock 1</t>
  </si>
  <si>
    <t>Stock 2</t>
  </si>
  <si>
    <t>Stock 3</t>
  </si>
  <si>
    <t>Planung für weitere Zufuhr</t>
  </si>
  <si>
    <t>Dünger 4</t>
  </si>
  <si>
    <t>Dünger 5</t>
  </si>
  <si>
    <r>
      <t>m</t>
    </r>
    <r>
      <rPr>
        <i/>
        <vertAlign val="superscript"/>
        <sz val="8"/>
        <rFont val="Arial"/>
        <family val="2"/>
      </rPr>
      <t>3</t>
    </r>
  </si>
  <si>
    <r>
      <t>Radies 10 Bund/m</t>
    </r>
    <r>
      <rPr>
        <vertAlign val="superscript"/>
        <sz val="10"/>
        <rFont val="Arial"/>
        <family val="2"/>
      </rPr>
      <t>2</t>
    </r>
  </si>
  <si>
    <r>
      <t xml:space="preserve">  (</t>
    </r>
    <r>
      <rPr>
        <b/>
        <sz val="9"/>
        <color indexed="20"/>
        <rFont val="Arial"/>
        <family val="2"/>
      </rPr>
      <t>Nachweis</t>
    </r>
    <r>
      <rPr>
        <sz val="9"/>
        <rFont val="Arial"/>
        <family val="2"/>
      </rPr>
      <t xml:space="preserve"> mittels vollständigem Feldkalender/Schlagkartei </t>
    </r>
    <r>
      <rPr>
        <b/>
        <sz val="9"/>
        <rFont val="Arial"/>
        <family val="2"/>
      </rPr>
      <t>und</t>
    </r>
    <r>
      <rPr>
        <sz val="9"/>
        <rFont val="Arial"/>
        <family val="2"/>
      </rPr>
      <t xml:space="preserve"> Waag-, Lieferscheinen, Abrechnungen oder Buchhaltungsbelegen).</t>
    </r>
  </si>
  <si>
    <r>
      <t>Rettich 8-9 Stk./m</t>
    </r>
    <r>
      <rPr>
        <vertAlign val="superscript"/>
        <sz val="10"/>
        <rFont val="Arial"/>
        <family val="2"/>
      </rPr>
      <t>2</t>
    </r>
  </si>
  <si>
    <r>
      <t>Freilandgemüse, Mittelwert,</t>
    </r>
    <r>
      <rPr>
        <sz val="10"/>
        <rFont val="Arial"/>
        <family val="2"/>
      </rPr>
      <t xml:space="preserve"> für kleine Freilandpflanzungen mit verschiedenen Gemüsen</t>
    </r>
  </si>
  <si>
    <r>
      <t>Mittelwert Gewächshaus, GH,</t>
    </r>
    <r>
      <rPr>
        <sz val="10"/>
        <rFont val="Arial"/>
        <family val="2"/>
      </rPr>
      <t xml:space="preserve"> für kleine Gewächshäuser und Hochtunnel mit verschiedenen Gemüsen</t>
    </r>
    <r>
      <rPr>
        <b/>
        <sz val="10"/>
        <rFont val="Arial"/>
        <family val="2"/>
      </rPr>
      <t xml:space="preserve"> </t>
    </r>
  </si>
  <si>
    <r>
      <t>N</t>
    </r>
    <r>
      <rPr>
        <b/>
        <vertAlign val="subscript"/>
        <sz val="10"/>
        <rFont val="Arial"/>
        <family val="2"/>
      </rPr>
      <t xml:space="preserve"> ges</t>
    </r>
  </si>
  <si>
    <t>Bemerkungen</t>
  </si>
  <si>
    <t>pro ha</t>
  </si>
  <si>
    <t>kg /ha</t>
  </si>
  <si>
    <t>kg pro Ertragseinheit oder ha</t>
  </si>
  <si>
    <t>Ackerkulturen, Gründüngung (= offenes Ackerland)</t>
  </si>
  <si>
    <t xml:space="preserve"> -</t>
  </si>
  <si>
    <t>ab</t>
  </si>
  <si>
    <t>Ackerbohnen</t>
  </si>
  <si>
    <t>dt Kö</t>
  </si>
  <si>
    <t>ccm</t>
  </si>
  <si>
    <t>ee</t>
  </si>
  <si>
    <t>Eiweisserbsen</t>
  </si>
  <si>
    <t>em</t>
  </si>
  <si>
    <t>Emmer / Einkorn</t>
  </si>
  <si>
    <t>fk</t>
  </si>
  <si>
    <t>Frühkartoffeln</t>
  </si>
  <si>
    <t>dt Knollen</t>
  </si>
  <si>
    <t>fr</t>
  </si>
  <si>
    <t>gd</t>
  </si>
  <si>
    <t>gdl</t>
  </si>
  <si>
    <t>gm</t>
  </si>
  <si>
    <t>haf</t>
  </si>
  <si>
    <t>Hanf, Faser-</t>
  </si>
  <si>
    <t>haö</t>
  </si>
  <si>
    <t>Hanf, Oel-</t>
  </si>
  <si>
    <t>ka</t>
  </si>
  <si>
    <t>Kartoffeln Speise-, Verarb.-</t>
  </si>
  <si>
    <t>kf</t>
  </si>
  <si>
    <t>Kenaf</t>
  </si>
  <si>
    <t>ko</t>
  </si>
  <si>
    <t>Korn (Dinkel)</t>
  </si>
  <si>
    <t>km</t>
  </si>
  <si>
    <t>Körnermais (86% TS)</t>
  </si>
  <si>
    <t>lf</t>
  </si>
  <si>
    <t>Lein, Faser-</t>
  </si>
  <si>
    <t>lo</t>
  </si>
  <si>
    <t>Lein, Oel-</t>
  </si>
  <si>
    <t>sr</t>
  </si>
  <si>
    <t>Sommerraps</t>
  </si>
  <si>
    <t>sm</t>
  </si>
  <si>
    <t>so</t>
  </si>
  <si>
    <t>IE Zuchtschw. inkl. Ferkel bis 25 kg</t>
  </si>
  <si>
    <t>sg</t>
  </si>
  <si>
    <t>Sommergerste</t>
  </si>
  <si>
    <t>st</t>
  </si>
  <si>
    <t>Sommertriticale</t>
  </si>
  <si>
    <t>sw</t>
  </si>
  <si>
    <t>Sommerweizen</t>
  </si>
  <si>
    <t>sb</t>
  </si>
  <si>
    <t>Sonnenblumen</t>
  </si>
  <si>
    <t>sl</t>
  </si>
  <si>
    <t>Süsslupine</t>
  </si>
  <si>
    <t>tb</t>
  </si>
  <si>
    <t>Tabak Burley</t>
  </si>
  <si>
    <t>tv</t>
  </si>
  <si>
    <t>wg</t>
  </si>
  <si>
    <t>Wintergerste</t>
  </si>
  <si>
    <t>wt</t>
  </si>
  <si>
    <t>Wintertriticale</t>
  </si>
  <si>
    <t>ww</t>
  </si>
  <si>
    <t>zr</t>
  </si>
  <si>
    <t>dt Rüben</t>
  </si>
  <si>
    <t>aub</t>
  </si>
  <si>
    <t>Aubergine</t>
  </si>
  <si>
    <t>blu1</t>
  </si>
  <si>
    <t>Suisse-Bilanz  -  Nährstoffhaushalt Gesamtbetrieb</t>
  </si>
  <si>
    <t>Blumen, Schnitt-, klein</t>
  </si>
  <si>
    <t>blu2</t>
  </si>
  <si>
    <t>Blumen, Schnitt-, mittel</t>
  </si>
  <si>
    <t>blu3</t>
  </si>
  <si>
    <t>Blumen, Schnitt-, gross</t>
  </si>
  <si>
    <t>bkr</t>
  </si>
  <si>
    <t>Bodenkohlrabi</t>
  </si>
  <si>
    <t>bov</t>
  </si>
  <si>
    <t>bob</t>
  </si>
  <si>
    <t>Bohnen, Busch-</t>
  </si>
  <si>
    <t>bro</t>
  </si>
  <si>
    <t>chk</t>
  </si>
  <si>
    <t>cir</t>
  </si>
  <si>
    <t>Cicorino rosso, Radicchio</t>
  </si>
  <si>
    <t>end</t>
  </si>
  <si>
    <t>Endivie (350 kg/a)</t>
  </si>
  <si>
    <t>end2</t>
  </si>
  <si>
    <t>Endivie (600 kg/a)</t>
  </si>
  <si>
    <t>erv</t>
  </si>
  <si>
    <t>Erbsen Verarbeitung-</t>
  </si>
  <si>
    <t>erk</t>
  </si>
  <si>
    <t>S = A3+D+E</t>
  </si>
  <si>
    <t xml:space="preserve">G = Z+A3+D+E-T </t>
  </si>
  <si>
    <t>Zwischenstand Nährstoffzufuhren/Wegfuhren</t>
  </si>
  <si>
    <r>
      <t xml:space="preserve">    </t>
    </r>
    <r>
      <rPr>
        <b/>
        <sz val="9"/>
        <rFont val="Arial"/>
        <family val="2"/>
      </rPr>
      <t xml:space="preserve">zum Vergleich: </t>
    </r>
    <r>
      <rPr>
        <sz val="9"/>
        <rFont val="Arial"/>
        <family val="2"/>
      </rPr>
      <t xml:space="preserve"> Saldo Nährstoffzufuhr und -wegfuhr </t>
    </r>
    <r>
      <rPr>
        <sz val="8"/>
        <rFont val="Arial"/>
        <family val="2"/>
      </rPr>
      <t>(A3+D+E)</t>
    </r>
  </si>
  <si>
    <t>Erbsen, Kefen</t>
  </si>
  <si>
    <t>eb1</t>
  </si>
  <si>
    <t>eb12</t>
  </si>
  <si>
    <t>fen</t>
  </si>
  <si>
    <t>Fenchel Knollen-</t>
  </si>
  <si>
    <t>gur</t>
  </si>
  <si>
    <t>Gurken, Essiggurken</t>
  </si>
  <si>
    <t>kae</t>
  </si>
  <si>
    <t>kal</t>
  </si>
  <si>
    <t>kaf</t>
  </si>
  <si>
    <t>Kabis, Früh-, Folie</t>
  </si>
  <si>
    <t>karb</t>
  </si>
  <si>
    <t>Karotten, Bund-, Früh-</t>
  </si>
  <si>
    <t>karp</t>
  </si>
  <si>
    <t>Karotten, Pariser</t>
  </si>
  <si>
    <t>karv</t>
  </si>
  <si>
    <t>Karotten (600 kg/a), Verarbeitung-, Lager-</t>
  </si>
  <si>
    <t>karv2</t>
  </si>
  <si>
    <t>Karotten (900 kg/a), Verarbeitung-, Lager-</t>
  </si>
  <si>
    <t>kor</t>
  </si>
  <si>
    <t>Kohlrabi</t>
  </si>
  <si>
    <t>korv</t>
  </si>
  <si>
    <t>Kohlrabi Verarbeitung</t>
  </si>
  <si>
    <t>kst</t>
  </si>
  <si>
    <t>Krautstiel</t>
  </si>
  <si>
    <t>lau</t>
  </si>
  <si>
    <t>mel</t>
  </si>
  <si>
    <t>Melone</t>
  </si>
  <si>
    <t>nüs</t>
  </si>
  <si>
    <t>Nüsslisalat, Feldsalat</t>
  </si>
  <si>
    <t>rad</t>
  </si>
  <si>
    <t>ran</t>
  </si>
  <si>
    <t>Randen</t>
  </si>
  <si>
    <t>ret</t>
  </si>
  <si>
    <t>rha</t>
  </si>
  <si>
    <t>Geben Sie in der Spalte "Menge pro Jahr" die Anzahl m3 oder t Mist pro Stock und Jahr ein. Aufgrund der Jahresmenge werden dann die mittleren Gehalte</t>
  </si>
  <si>
    <t xml:space="preserve"> je m3 od.  t berechnet. In der Spalte ganz links, "berechnete Menge", wird die Jahresmenge an Mist aufgrund von Normwerten berechnet. Diese Menge</t>
  </si>
  <si>
    <t xml:space="preserve">   Kräuter</t>
  </si>
  <si>
    <t xml:space="preserve">   Für grössere Anbauflächen können auch die Düngungsnormen gemäss "Grundlagen für die</t>
  </si>
  <si>
    <t xml:space="preserve">   Düngung von Medizinal- und Gewürzpflanzen (ACW 2006)" verwendet werden.</t>
  </si>
  <si>
    <r>
      <t>Dauerkulturen: Obst, Reben, Beeren, mehrj. Gemüse und mehrj. Rohstoffe</t>
    </r>
    <r>
      <rPr>
        <b/>
        <i/>
        <sz val="10"/>
        <rFont val="Arial"/>
        <family val="2"/>
      </rPr>
      <t xml:space="preserve">  (kein offenes Ackerland)</t>
    </r>
  </si>
  <si>
    <t>wird in den wenigsten Fällen gerade die effektive Menge auf dem Betrieb treffen, weil die Normen nur mittlere Werte sind (Rottegrad des Mistes, Menge an Einstreu, ...).</t>
  </si>
  <si>
    <t>Aufstallungssystem gewählt wurde und ob die Strohmengen auch einbezogen worden sind (Abschnitt "Zugabe zu Gülle und Mist").</t>
  </si>
  <si>
    <t>Sind die Abweichungen zwischen  berechneter Mist-Menge und effektiver Menge zu gross oder ergeben sich unrealistische Gehalte, ist zu prüfen, ob das zutreffende</t>
  </si>
  <si>
    <t>rko</t>
  </si>
  <si>
    <t>Rosenkohl, Strünke abgeführt</t>
  </si>
  <si>
    <t>rüb</t>
  </si>
  <si>
    <t>Rüben Herbst-, Mai-</t>
  </si>
  <si>
    <t>sal</t>
  </si>
  <si>
    <t>Salate (350 kg/a), diverse</t>
  </si>
  <si>
    <t>sal2</t>
  </si>
  <si>
    <t>Bemerkungen:</t>
  </si>
  <si>
    <t>diese Zeile wird nur beim Drucken verwendet</t>
  </si>
  <si>
    <t>Salate (600 kg/a), diverse</t>
  </si>
  <si>
    <t>sla</t>
  </si>
  <si>
    <t>Schnittlauch</t>
  </si>
  <si>
    <t>ssa</t>
  </si>
  <si>
    <t>je ha DF</t>
  </si>
  <si>
    <t>Schnittsalat</t>
  </si>
  <si>
    <t>MJ</t>
  </si>
  <si>
    <t>RP</t>
  </si>
  <si>
    <t>Vgl. Futter</t>
  </si>
  <si>
    <t>Tiefstwerte</t>
  </si>
  <si>
    <t>Futtergehalte</t>
  </si>
  <si>
    <r>
      <t>N</t>
    </r>
    <r>
      <rPr>
        <vertAlign val="subscript"/>
        <sz val="10"/>
        <rFont val="Arial"/>
        <family val="2"/>
      </rPr>
      <t>ges</t>
    </r>
  </si>
  <si>
    <t>Standard</t>
  </si>
  <si>
    <t>swu</t>
  </si>
  <si>
    <r>
      <t>Zufuhr</t>
    </r>
    <r>
      <rPr>
        <sz val="8"/>
        <rFont val="Arial"/>
        <family val="2"/>
      </rPr>
      <t xml:space="preserve"> +</t>
    </r>
  </si>
  <si>
    <r>
      <t>Wegfuhr</t>
    </r>
    <r>
      <rPr>
        <sz val="9"/>
        <rFont val="Arial"/>
        <family val="2"/>
      </rPr>
      <t xml:space="preserve"> -</t>
    </r>
  </si>
  <si>
    <t>Schwarzwurzel</t>
  </si>
  <si>
    <t>sel</t>
  </si>
  <si>
    <t>ses</t>
  </si>
  <si>
    <t>spbl</t>
  </si>
  <si>
    <t>spgr</t>
  </si>
  <si>
    <t>sp1</t>
  </si>
  <si>
    <t>sp2</t>
  </si>
  <si>
    <t>tom</t>
  </si>
  <si>
    <t>Tomaten</t>
  </si>
  <si>
    <t>vio</t>
  </si>
  <si>
    <t>Viola (Stiefmütterchen, Pensée)</t>
  </si>
  <si>
    <t>wirl</t>
  </si>
  <si>
    <t>Wirz leicht (300 kg/a)</t>
  </si>
  <si>
    <t>wirs</t>
  </si>
  <si>
    <t>Wirz schwer (400 kg/a)</t>
  </si>
  <si>
    <t>zhu</t>
  </si>
  <si>
    <t>Zuckerhut</t>
  </si>
  <si>
    <t>zma</t>
  </si>
  <si>
    <t>Zuckermais</t>
  </si>
  <si>
    <t>zwi</t>
  </si>
  <si>
    <t>fgmw</t>
  </si>
  <si>
    <t xml:space="preserve"> Gewächshausgemüse und Hochtunnel (= Kulturen in geschütztem Anbau)</t>
  </si>
  <si>
    <t>Name muss immer ", GH..." enthalten wegen Berechnung off. AL</t>
  </si>
  <si>
    <t>aubg</t>
  </si>
  <si>
    <t>bosg</t>
  </si>
  <si>
    <t>Bohnen Stangen- , GH</t>
  </si>
  <si>
    <t>endg</t>
  </si>
  <si>
    <t>Endivie Herbst-, GH</t>
  </si>
  <si>
    <t>gug</t>
  </si>
  <si>
    <t>korg</t>
  </si>
  <si>
    <t>Kohlrabi, GH</t>
  </si>
  <si>
    <t>kstg</t>
  </si>
  <si>
    <t>Krautstiel, GH</t>
  </si>
  <si>
    <t>kreg</t>
  </si>
  <si>
    <t>Kresse, GH</t>
  </si>
  <si>
    <t>laug</t>
  </si>
  <si>
    <t>Lauch, GH</t>
  </si>
  <si>
    <t>nüsg</t>
  </si>
  <si>
    <t>Nüsslisalat, Feldsalat, GH</t>
  </si>
  <si>
    <t>papg</t>
  </si>
  <si>
    <t>Paprika, GH, Bodenkultur</t>
  </si>
  <si>
    <t>petg</t>
  </si>
  <si>
    <t>Petersilie, GH</t>
  </si>
  <si>
    <t>radg</t>
  </si>
  <si>
    <t>Radies 20 Bund/m2, GH</t>
  </si>
  <si>
    <t>retg</t>
  </si>
  <si>
    <t>Rettich 18 Stk/m2, GH</t>
  </si>
  <si>
    <t>rucg1</t>
  </si>
  <si>
    <t>Rucola, 1 Schnitt, GH</t>
  </si>
  <si>
    <t>rucg2</t>
  </si>
  <si>
    <t>Rucola, 2 Schnitte, GH</t>
  </si>
  <si>
    <t>salg</t>
  </si>
  <si>
    <t>Salate Kopf-, Eisberg, Lollo, GH</t>
  </si>
  <si>
    <t>slag</t>
  </si>
  <si>
    <t>Vollmist Typ</t>
  </si>
  <si>
    <t>Liste (für Daten Gültigkeit)</t>
  </si>
  <si>
    <t>Schnittlauch (Kultur), GH</t>
  </si>
  <si>
    <t>ssag</t>
  </si>
  <si>
    <t>Schnittsalat, GH</t>
  </si>
  <si>
    <t>selg</t>
  </si>
  <si>
    <t>Sellerie Suppen- 40 Stk/m2, GH</t>
  </si>
  <si>
    <t>spig</t>
  </si>
  <si>
    <t xml:space="preserve">           gemäss Zusatzmodul 6 möglich:</t>
  </si>
  <si>
    <t>tom1g</t>
  </si>
  <si>
    <t>Tomaten, 1200 kg/Are, GH Bodenkultur</t>
  </si>
  <si>
    <t>tom2g</t>
  </si>
  <si>
    <t>Tomaten, 1800 kg/Are, GH Bodenkultur</t>
  </si>
  <si>
    <t>tom3g</t>
  </si>
  <si>
    <t>Tomaten, 2400 kg/Are, GH Bodenkultur</t>
  </si>
  <si>
    <t>tom4g</t>
  </si>
  <si>
    <t>Tomaten, 3000 kg/Are, GH Bodenkultur</t>
  </si>
  <si>
    <t>mwg</t>
  </si>
  <si>
    <t>Stroh, Rübenblatt</t>
  </si>
  <si>
    <t>Stroh (85% TS)</t>
  </si>
  <si>
    <t>Rübenblatt (15%TS)</t>
  </si>
  <si>
    <t xml:space="preserve"> Obst</t>
  </si>
  <si>
    <t>oa</t>
  </si>
  <si>
    <t>kir</t>
  </si>
  <si>
    <t>Kirschen</t>
  </si>
  <si>
    <t>zwe</t>
  </si>
  <si>
    <t>Zwetschgen</t>
  </si>
  <si>
    <t>apr</t>
  </si>
  <si>
    <t>Aprikosen</t>
  </si>
  <si>
    <t>pfi</t>
  </si>
  <si>
    <t>kiw</t>
  </si>
  <si>
    <t>Kiwi</t>
  </si>
  <si>
    <t xml:space="preserve"> Reben</t>
  </si>
  <si>
    <t>re</t>
  </si>
  <si>
    <t xml:space="preserve"> Beeren</t>
  </si>
  <si>
    <t>brb</t>
  </si>
  <si>
    <t>brb2</t>
  </si>
  <si>
    <t>cas</t>
  </si>
  <si>
    <t>cas2</t>
  </si>
  <si>
    <t>eb</t>
  </si>
  <si>
    <t>Erdbeeren (mehrjährig)</t>
  </si>
  <si>
    <t>hei</t>
  </si>
  <si>
    <t>hei2</t>
  </si>
  <si>
    <t>him</t>
  </si>
  <si>
    <t>berechnete</t>
  </si>
  <si>
    <t>Mengen</t>
  </si>
  <si>
    <t>Geben Sie in der Spalte "Totale Menge" die Anzahl m3 Gülle pro Grube und Jahr ein. Aufgrund der Jahresmenge werden dann die mittleren Gehalte je m3 berechnet.</t>
  </si>
  <si>
    <t>Grube 1</t>
  </si>
  <si>
    <t>vorhandene Hofdüngerlager:</t>
  </si>
  <si>
    <t>Bezeichnung</t>
  </si>
  <si>
    <r>
      <t xml:space="preserve">                           </t>
    </r>
    <r>
      <rPr>
        <sz val="12"/>
        <rFont val="Arial"/>
        <family val="2"/>
      </rPr>
      <t xml:space="preserve">Berechnung nach Modul 6 </t>
    </r>
    <r>
      <rPr>
        <sz val="10"/>
        <rFont val="Arial"/>
        <family val="2"/>
      </rPr>
      <t>(Auflage 1.3, April 2010)</t>
    </r>
  </si>
  <si>
    <t>Güllengruben</t>
  </si>
  <si>
    <t>Miststöcke</t>
  </si>
  <si>
    <t xml:space="preserve">und </t>
  </si>
  <si>
    <t>Grube 2</t>
  </si>
  <si>
    <t>Grube 3</t>
  </si>
  <si>
    <r>
      <t>Einheit (m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 xml:space="preserve"> / t ) </t>
    </r>
  </si>
  <si>
    <t xml:space="preserve">Güllegrube: Nr. 1, 2 od. 3 einsetzen </t>
  </si>
  <si>
    <r>
      <t xml:space="preserve">Code: Nr. eingeben  </t>
    </r>
    <r>
      <rPr>
        <b/>
        <sz val="9"/>
        <rFont val="Arial"/>
        <family val="2"/>
      </rPr>
      <t>,</t>
    </r>
  </si>
  <si>
    <t>Saldo</t>
  </si>
  <si>
    <t xml:space="preserve">                        (= Tiefstreulaufstall (1 Raum) für Raufutterverzehrer, Tiefstreulaufstall für Schweine, alle Systeme für Geflügel).</t>
  </si>
  <si>
    <r>
      <t xml:space="preserve">- Fehlen Ihnen Zeilen für weitere Tierkategorien, fügen Sie solche durch Klicken auf den </t>
    </r>
    <r>
      <rPr>
        <b/>
        <sz val="10"/>
        <rFont val="Arial"/>
        <family val="2"/>
      </rPr>
      <t>Knopf "Zeile Tiere einfügen"</t>
    </r>
    <r>
      <rPr>
        <sz val="10"/>
        <rFont val="Arial"/>
        <family val="2"/>
      </rPr>
      <t xml:space="preserve"> ein.</t>
    </r>
  </si>
  <si>
    <r>
      <t xml:space="preserve">     - sind die durchschnittlichen </t>
    </r>
    <r>
      <rPr>
        <b/>
        <sz val="10"/>
        <rFont val="Arial"/>
        <family val="2"/>
      </rPr>
      <t xml:space="preserve">Erträge realisitsch </t>
    </r>
    <r>
      <rPr>
        <sz val="10"/>
        <rFont val="Arial"/>
        <family val="2"/>
      </rPr>
      <t>(Flächen mit weniger Ertrag wie z.B. schattige Waldränder, Nordhänge, ...),</t>
    </r>
  </si>
  <si>
    <t>him3</t>
  </si>
  <si>
    <t>joh</t>
  </si>
  <si>
    <t>joh2</t>
  </si>
  <si>
    <t>stb</t>
  </si>
  <si>
    <t>stb2</t>
  </si>
  <si>
    <t>stbd</t>
  </si>
  <si>
    <t xml:space="preserve"> Gemüse, mehrjährige</t>
  </si>
  <si>
    <t>Rhabarber</t>
  </si>
  <si>
    <t>Spargeln, Bleich-</t>
  </si>
  <si>
    <t>Spargeln, Grün-</t>
  </si>
  <si>
    <t xml:space="preserve"> Diverse</t>
  </si>
  <si>
    <t xml:space="preserve">   - agridea: Publikationen &gt; downloads &gt; ökologischer Leistungsnachweis &gt; Suisse-Bilanz</t>
  </si>
  <si>
    <t>Futterrüben -&gt; Eingabe bei Grundfutterproduktion !</t>
  </si>
  <si>
    <t>Silomais -&gt; Eingabe bei Grundfutterproduktion !</t>
  </si>
  <si>
    <t>Rhabarber -&gt; Eingabe bei Dauerkulturen</t>
  </si>
  <si>
    <t>Spargeln, Bleich-  -&gt; Eingabe bei Dauerkulturen</t>
  </si>
  <si>
    <t>Spargeln, Grün-  -&gt; Eingabe bei Dauerkulturen</t>
  </si>
  <si>
    <t>Anfall</t>
  </si>
  <si>
    <t>brutto</t>
  </si>
  <si>
    <t>netto</t>
  </si>
  <si>
    <t>prop.</t>
  </si>
  <si>
    <t>Zeit</t>
  </si>
  <si>
    <t>Basis</t>
  </si>
  <si>
    <t>oAL</t>
  </si>
  <si>
    <t>M+G</t>
  </si>
  <si>
    <t xml:space="preserve">Summen zum Aufteilen auf Tierkategorien </t>
  </si>
  <si>
    <t>Stall</t>
  </si>
  <si>
    <t>Düngung</t>
  </si>
  <si>
    <t>gedüngt</t>
  </si>
  <si>
    <t>Betrieb</t>
  </si>
  <si>
    <r>
      <t xml:space="preserve">          </t>
    </r>
    <r>
      <rPr>
        <sz val="9"/>
        <color indexed="16"/>
        <rFont val="Arial"/>
        <family val="2"/>
      </rPr>
      <t>Parzellen in Nitratprojekten nach Art. 62a Gewässerschutzgesetz:</t>
    </r>
    <r>
      <rPr>
        <sz val="9"/>
        <rFont val="Arial"/>
        <family val="2"/>
      </rPr>
      <t xml:space="preserve"> Eine ertragsabhängige N-Korrektur nach oben ist bei </t>
    </r>
    <r>
      <rPr>
        <sz val="8"/>
        <color indexed="16"/>
        <rFont val="Arial"/>
        <family val="2"/>
      </rPr>
      <t/>
    </r>
  </si>
  <si>
    <t>1= trifft zu</t>
  </si>
  <si>
    <t xml:space="preserve">Text, der angezeigt wird: </t>
  </si>
  <si>
    <t>wenn Ertrags-Summe der intensiven Wiesen negative Zahl, dann zu viel produziert</t>
  </si>
  <si>
    <t>wenn keine Fläche + Ertrags-Summe der intensiven Wiesen positive Zahl, dann zu wenig produziert</t>
  </si>
  <si>
    <t xml:space="preserve">Total GF-Verzehr "normal" wird negativ </t>
  </si>
  <si>
    <t xml:space="preserve">diese Zeile dient dazu, dass kein Fehlerwert angezeigt wird </t>
  </si>
  <si>
    <t>Bedingung</t>
  </si>
  <si>
    <r>
      <t xml:space="preserve">     &gt; </t>
    </r>
    <r>
      <rPr>
        <b/>
        <sz val="10"/>
        <color indexed="12"/>
        <rFont val="Arial"/>
        <family val="2"/>
      </rPr>
      <t>Dauerkulturen</t>
    </r>
    <r>
      <rPr>
        <sz val="10"/>
        <color indexed="12"/>
        <rFont val="Arial"/>
        <family val="2"/>
      </rPr>
      <t xml:space="preserve"> (Obst, Reben, etc.): </t>
    </r>
    <r>
      <rPr>
        <b/>
        <sz val="10"/>
        <color indexed="12"/>
        <rFont val="Arial"/>
        <family val="2"/>
      </rPr>
      <t xml:space="preserve">die Korrekturfaktoren nach Bodenanalysen sind zu berücksichtigen </t>
    </r>
    <r>
      <rPr>
        <sz val="10"/>
        <color indexed="12"/>
        <rFont val="Arial"/>
        <family val="2"/>
      </rPr>
      <t>(Werte von 0 bis 1.5)</t>
    </r>
  </si>
  <si>
    <r>
      <t xml:space="preserve">                     diesen nicht möglich -&gt; Kultur mit dem Zusatz "</t>
    </r>
    <r>
      <rPr>
        <sz val="9"/>
        <color indexed="16"/>
        <rFont val="Arial"/>
        <family val="2"/>
      </rPr>
      <t>Nitrat-Projekt</t>
    </r>
    <r>
      <rPr>
        <sz val="9"/>
        <rFont val="Arial"/>
        <family val="2"/>
      </rPr>
      <t>" wählen (vgl. Wegleitung 3.7 Nährstoffbedarf, Ackerkulturen)</t>
    </r>
  </si>
  <si>
    <r>
      <t xml:space="preserve">     &gt; </t>
    </r>
    <r>
      <rPr>
        <b/>
        <sz val="10"/>
        <color indexed="12"/>
        <rFont val="Arial"/>
        <family val="2"/>
      </rPr>
      <t>Gemüsekulturen:</t>
    </r>
    <r>
      <rPr>
        <sz val="10"/>
        <color indexed="12"/>
        <rFont val="Arial"/>
        <family val="2"/>
      </rPr>
      <t xml:space="preserve"> </t>
    </r>
    <r>
      <rPr>
        <b/>
        <sz val="10"/>
        <color indexed="12"/>
        <rFont val="Arial"/>
        <family val="2"/>
      </rPr>
      <t>grundsätzlich</t>
    </r>
    <r>
      <rPr>
        <sz val="10"/>
        <color indexed="12"/>
        <rFont val="Arial"/>
        <family val="2"/>
      </rPr>
      <t xml:space="preserve"> kann der Nettonährstoffbedarf verwendet werden (d.h. </t>
    </r>
    <r>
      <rPr>
        <b/>
        <sz val="10"/>
        <color indexed="12"/>
        <rFont val="Arial"/>
        <family val="2"/>
      </rPr>
      <t>Korrekturfaktor = 1</t>
    </r>
    <r>
      <rPr>
        <sz val="10"/>
        <color indexed="12"/>
        <rFont val="Arial"/>
        <family val="2"/>
      </rPr>
      <t xml:space="preserve">), ein Mehrbedarf kann über einen gesamtbetrieblichen </t>
    </r>
  </si>
  <si>
    <r>
      <t xml:space="preserve">                                    Düngungsplan oder durch Berücksichtigung der parzellenspezifischen Korrekturfaktoren bei </t>
    </r>
    <r>
      <rPr>
        <u/>
        <sz val="10"/>
        <color indexed="12"/>
        <rFont val="Arial"/>
        <family val="2"/>
      </rPr>
      <t>allen</t>
    </r>
    <r>
      <rPr>
        <sz val="10"/>
        <color indexed="12"/>
        <rFont val="Arial"/>
        <family val="2"/>
      </rPr>
      <t xml:space="preserve"> Gemüsekulturen geltend gemacht werden (Werte von 0 bis 1.5)</t>
    </r>
  </si>
  <si>
    <r>
      <t xml:space="preserve">     &gt; </t>
    </r>
    <r>
      <rPr>
        <b/>
        <i/>
        <sz val="10"/>
        <color indexed="12"/>
        <rFont val="Arial"/>
        <family val="2"/>
      </rPr>
      <t>übrige Kulturen</t>
    </r>
    <r>
      <rPr>
        <i/>
        <sz val="10"/>
        <color indexed="12"/>
        <rFont val="Arial"/>
        <family val="2"/>
      </rPr>
      <t xml:space="preserve">: ein Mehrbedarf kann aufgrund eines Düngungsplans oder der flächengewichteten P-Korrekturfaktoren geltend gemacht werden (-&gt; Gesuch/Bewilligung nötig).  </t>
    </r>
  </si>
  <si>
    <r>
      <t xml:space="preserve">- Fehlen Ihnen Zeilen für weitere Kulturen, fügen Sie solche durch Klicken auf den Knopf "Zeile einfügen" ein </t>
    </r>
    <r>
      <rPr>
        <sz val="10"/>
        <color indexed="61"/>
        <rFont val="Arial"/>
        <family val="2"/>
      </rPr>
      <t xml:space="preserve"> </t>
    </r>
    <r>
      <rPr>
        <sz val="10"/>
        <color indexed="61"/>
        <rFont val="Arial Narrow"/>
        <family val="2"/>
      </rPr>
      <t>[funktioniert nur, wenn Makros aktiviert sind]</t>
    </r>
  </si>
  <si>
    <r>
      <t xml:space="preserve">- Korrekturfaktoren nach Bodenproben </t>
    </r>
    <r>
      <rPr>
        <sz val="9"/>
        <color indexed="12"/>
        <rFont val="Arial"/>
        <family val="2"/>
      </rPr>
      <t xml:space="preserve">(siehe Wegleitung 3.7) </t>
    </r>
  </si>
  <si>
    <t>*Galtkuh (Pl.)</t>
  </si>
  <si>
    <t>kad</t>
  </si>
  <si>
    <t>Kräuter, 1-jährig, klein (8 kg/a)</t>
  </si>
  <si>
    <t>Kräuter, 1-jährig, mittel (25 kg/a)</t>
  </si>
  <si>
    <t>Kräuter, 1-jährig, mittel-gross (50 kg/a)</t>
  </si>
  <si>
    <t>Kräuter, 1-jährig, gross (75 kg/a)</t>
  </si>
  <si>
    <t>Dünger 1</t>
  </si>
  <si>
    <t>Dünger 2</t>
  </si>
  <si>
    <t>Dünger 3</t>
  </si>
  <si>
    <t>Düngerart</t>
  </si>
  <si>
    <r>
      <t xml:space="preserve">Gehalte </t>
    </r>
    <r>
      <rPr>
        <sz val="8"/>
        <rFont val="Arial Narrow"/>
        <family val="2"/>
      </rPr>
      <t>(kg/Einheit)</t>
    </r>
  </si>
  <si>
    <t>szp</t>
  </si>
  <si>
    <t>gss</t>
  </si>
  <si>
    <t>Tafeltrauben (12 t/ha)</t>
  </si>
  <si>
    <t>Tafeltrauben (20 t/ha), hoher Ertrag</t>
  </si>
  <si>
    <t>taf</t>
  </si>
  <si>
    <t>taf2</t>
  </si>
  <si>
    <t>mim</t>
  </si>
  <si>
    <t>nkl</t>
  </si>
  <si>
    <t>nknl</t>
  </si>
  <si>
    <t>Samen-Produktion, Leguminosen, Reinsaat</t>
  </si>
  <si>
    <t>80-120</t>
  </si>
  <si>
    <r>
      <t>Produzierende Zibbe</t>
    </r>
    <r>
      <rPr>
        <sz val="10"/>
        <rFont val="Arial Narrow"/>
        <family val="2"/>
      </rPr>
      <t xml:space="preserve"> (inkl. Jungtiere bis ca. 35 d)</t>
    </r>
  </si>
  <si>
    <t xml:space="preserve">Kaninchen-Jungtier (ab ca. 35 d, 100 Pl.) </t>
  </si>
  <si>
    <t>kaj</t>
  </si>
  <si>
    <t>Nicht aufgeführte Kulturen (Leguminosen)</t>
  </si>
  <si>
    <t>*Milchkühe, Ausmast (Pl.)</t>
  </si>
  <si>
    <t>wac</t>
  </si>
  <si>
    <t>wap</t>
  </si>
  <si>
    <t xml:space="preserve">Wapiti (Einh.), Muttertier + Nachwuchs bis 16 Mt. = 1 Einheit = 2 Tiere am Stichtag </t>
  </si>
  <si>
    <r>
      <t>Menge</t>
    </r>
    <r>
      <rPr>
        <sz val="9"/>
        <rFont val="Arial Narrow"/>
        <family val="2"/>
      </rPr>
      <t xml:space="preserve"> pro Jahr</t>
    </r>
  </si>
  <si>
    <t>ch</t>
  </si>
  <si>
    <t>Chinaschilf (200 dt TS/ha)</t>
  </si>
  <si>
    <t xml:space="preserve"> bei 200 dt TS/ha</t>
  </si>
  <si>
    <t>cb</t>
  </si>
  <si>
    <t>Christbäume</t>
  </si>
  <si>
    <t>hgpm</t>
  </si>
  <si>
    <t>hopf</t>
  </si>
  <si>
    <t>Hopfen</t>
  </si>
  <si>
    <t>Tiere: Grundfutterbedarf und Nährstoffanfall</t>
  </si>
  <si>
    <t xml:space="preserve"> Abkürz.</t>
  </si>
  <si>
    <t>Tierkategorie</t>
  </si>
  <si>
    <t>Weide-</t>
  </si>
  <si>
    <t>kr1</t>
  </si>
  <si>
    <t>kr2</t>
  </si>
  <si>
    <t>kr3</t>
  </si>
  <si>
    <t>kr4</t>
  </si>
  <si>
    <t>Anfall in kg pro Jahr</t>
  </si>
  <si>
    <t>Faktor</t>
  </si>
  <si>
    <t>Texte, wenn BIO</t>
  </si>
  <si>
    <t>ÖLN</t>
  </si>
  <si>
    <t>Spalte</t>
  </si>
  <si>
    <t>Unterschrift Kontrolleur</t>
  </si>
  <si>
    <t xml:space="preserve">  -</t>
  </si>
  <si>
    <t>Auskunft</t>
  </si>
  <si>
    <t>Produktionsart</t>
  </si>
  <si>
    <t>Unterschrift BIO-Kontrolleur:</t>
  </si>
  <si>
    <t>Unterschrift ÖLN-Kontrolleur:</t>
  </si>
  <si>
    <t xml:space="preserve"> Rindvieh</t>
  </si>
  <si>
    <t>mik</t>
  </si>
  <si>
    <t>ar2</t>
  </si>
  <si>
    <t>ar3</t>
  </si>
  <si>
    <t>zst</t>
  </si>
  <si>
    <t>Zuchtstier</t>
  </si>
  <si>
    <t>muks</t>
  </si>
  <si>
    <t>mukl</t>
  </si>
  <si>
    <t>mkkl</t>
  </si>
  <si>
    <t>mkks</t>
  </si>
  <si>
    <t>mkp</t>
  </si>
  <si>
    <t>Platz</t>
  </si>
  <si>
    <t>wmp</t>
  </si>
  <si>
    <t>pfe</t>
  </si>
  <si>
    <t>nährstoffarm*</t>
  </si>
  <si>
    <r>
      <t xml:space="preserve">eigenes verfüttertes Stroh </t>
    </r>
    <r>
      <rPr>
        <sz val="8"/>
        <rFont val="Arial"/>
        <family val="2"/>
      </rPr>
      <t>(85%TS) *</t>
    </r>
  </si>
  <si>
    <r>
      <t xml:space="preserve">extensive Wiesen </t>
    </r>
    <r>
      <rPr>
        <i/>
        <sz val="8"/>
        <rFont val="Arial"/>
        <family val="2"/>
      </rPr>
      <t xml:space="preserve">(ungedüngt) </t>
    </r>
    <r>
      <rPr>
        <b/>
        <i/>
        <sz val="8"/>
        <rFont val="Arial"/>
        <family val="2"/>
      </rPr>
      <t xml:space="preserve"> *</t>
    </r>
  </si>
  <si>
    <t>übrige Wiesen mit Düngeverbot *</t>
  </si>
  <si>
    <t>extensive Weiden *</t>
  </si>
  <si>
    <t xml:space="preserve">Z = A2 - C </t>
  </si>
  <si>
    <t>= - Z + F + T</t>
  </si>
  <si>
    <t>foh</t>
  </si>
  <si>
    <t>pke</t>
  </si>
  <si>
    <t xml:space="preserve"> Kleine Wiederkäuer und weitere Rauhfutterverzehrer</t>
  </si>
  <si>
    <t>scha</t>
  </si>
  <si>
    <t>zie</t>
  </si>
  <si>
    <t>bis1</t>
  </si>
  <si>
    <t>bis2</t>
  </si>
  <si>
    <t>lam1</t>
  </si>
  <si>
    <t>lam2</t>
  </si>
  <si>
    <t>Lamas über 2-jährig</t>
  </si>
  <si>
    <t>alp1</t>
  </si>
  <si>
    <t>alp2</t>
  </si>
  <si>
    <t>Alpakas über 2-jährig</t>
  </si>
  <si>
    <t>dhi</t>
  </si>
  <si>
    <t>rhi</t>
  </si>
  <si>
    <t>msp</t>
  </si>
  <si>
    <r>
      <t>- In der Spalte "</t>
    </r>
    <r>
      <rPr>
        <b/>
        <sz val="10"/>
        <rFont val="Arial"/>
        <family val="2"/>
      </rPr>
      <t>Vollmist Typ</t>
    </r>
    <r>
      <rPr>
        <sz val="10"/>
        <rFont val="Arial"/>
        <family val="2"/>
      </rPr>
      <t xml:space="preserve">" geben Sie ...             </t>
    </r>
    <r>
      <rPr>
        <i/>
        <sz val="10"/>
        <rFont val="Arial"/>
        <family val="2"/>
      </rPr>
      <t xml:space="preserve">(Vollmist = Mist enthält nebst dem Kot auch </t>
    </r>
    <r>
      <rPr>
        <i/>
        <u/>
        <sz val="10"/>
        <rFont val="Arial"/>
        <family val="2"/>
      </rPr>
      <t>allen</t>
    </r>
    <r>
      <rPr>
        <i/>
        <sz val="10"/>
        <rFont val="Arial"/>
        <family val="2"/>
      </rPr>
      <t xml:space="preserve"> Harn, d.h. </t>
    </r>
    <r>
      <rPr>
        <i/>
        <u/>
        <sz val="10"/>
        <rFont val="Arial"/>
        <family val="2"/>
      </rPr>
      <t>kein</t>
    </r>
    <r>
      <rPr>
        <i/>
        <sz val="10"/>
        <rFont val="Arial"/>
        <family val="2"/>
      </rPr>
      <t xml:space="preserve"> Gülle-Anfall)</t>
    </r>
  </si>
  <si>
    <t>mss</t>
  </si>
  <si>
    <t>zsp</t>
  </si>
  <si>
    <t>gfzs</t>
  </si>
  <si>
    <r>
      <t>Vorgehen:</t>
    </r>
    <r>
      <rPr>
        <sz val="10"/>
        <rFont val="Arial"/>
        <family val="2"/>
      </rPr>
      <t xml:space="preserve"> Aufgrund des GF-Verzehrs auf dem Betrieb, der Zu- und Wegfuhren von GF und der GF-Produktion ausserhalb der Futterfläche</t>
    </r>
  </si>
  <si>
    <t>- Zuerst alle Flächen eintragen, dann die TS Erträge schätzen und eintragen:</t>
  </si>
  <si>
    <t>GF-Verz. Zuchtschw. dt TS total</t>
  </si>
  <si>
    <t>gsp</t>
  </si>
  <si>
    <t>szs</t>
  </si>
  <si>
    <t>fep</t>
  </si>
  <si>
    <t>fes</t>
  </si>
  <si>
    <t>zeb</t>
  </si>
  <si>
    <t>hen</t>
  </si>
  <si>
    <t>100 Pl.</t>
  </si>
  <si>
    <t>jhe</t>
  </si>
  <si>
    <t>jhu</t>
  </si>
  <si>
    <t>100 St.</t>
  </si>
  <si>
    <t>pou</t>
  </si>
  <si>
    <t>Mastpoulets (100 Pl.)</t>
  </si>
  <si>
    <t>pous</t>
  </si>
  <si>
    <t>tru</t>
  </si>
  <si>
    <t>trus</t>
  </si>
  <si>
    <t>trvm</t>
  </si>
  <si>
    <t>tram</t>
  </si>
  <si>
    <t>stj</t>
  </si>
  <si>
    <t>Strausse bis 13 Mt.</t>
  </si>
  <si>
    <t>sta</t>
  </si>
  <si>
    <t>Strausse älter als 13 Mt.</t>
  </si>
  <si>
    <t>zib</t>
  </si>
  <si>
    <r>
      <t xml:space="preserve">Total Nährstoffanfall aus Tierhaltung, korrigiert </t>
    </r>
    <r>
      <rPr>
        <sz val="8"/>
        <rFont val="Arial"/>
        <family val="2"/>
      </rPr>
      <t>(A2)</t>
    </r>
  </si>
  <si>
    <r>
      <t>Total</t>
    </r>
    <r>
      <rPr>
        <sz val="8"/>
        <rFont val="Arial"/>
        <family val="2"/>
      </rPr>
      <t xml:space="preserve"> </t>
    </r>
    <r>
      <rPr>
        <sz val="7"/>
        <rFont val="Arial"/>
        <family val="2"/>
      </rPr>
      <t>(C1)</t>
    </r>
  </si>
  <si>
    <t>Nährstofftransfer für Futter von ungedüngten Wiesen (T)</t>
  </si>
  <si>
    <t>(C2+C3)</t>
  </si>
  <si>
    <t>A2</t>
  </si>
  <si>
    <t>C+F</t>
  </si>
  <si>
    <t>A2+S-T</t>
  </si>
  <si>
    <r>
      <t>kg N</t>
    </r>
    <r>
      <rPr>
        <vertAlign val="subscript"/>
        <sz val="7"/>
        <rFont val="Arial"/>
        <family val="2"/>
      </rPr>
      <t>ges</t>
    </r>
  </si>
  <si>
    <t>iesz</t>
  </si>
  <si>
    <t>ieaf</t>
  </si>
  <si>
    <t>iejh</t>
  </si>
  <si>
    <t>iemp</t>
  </si>
  <si>
    <t>iemt</t>
  </si>
  <si>
    <t>iezi</t>
  </si>
  <si>
    <t>iekj</t>
  </si>
  <si>
    <r>
      <t xml:space="preserve">Aufteilung der Nährstoffe auf Gülle, Mist und Weide zur </t>
    </r>
    <r>
      <rPr>
        <b/>
        <sz val="11"/>
        <color indexed="12"/>
        <rFont val="Arial"/>
        <family val="2"/>
      </rPr>
      <t>Schätzung der Hofdüngergehalte</t>
    </r>
  </si>
  <si>
    <t xml:space="preserve"> Tierkategorien mit Import-Export-Bilanz (Wegleitung Zusatzmodul 7)</t>
  </si>
  <si>
    <t>IE-Tierkat. wählen</t>
  </si>
  <si>
    <r>
      <t xml:space="preserve">Zugaben zu Gülle und Mist </t>
    </r>
    <r>
      <rPr>
        <sz val="9"/>
        <rFont val="Arial"/>
        <family val="2"/>
      </rPr>
      <t xml:space="preserve">(z.B. fremde Schweinegülle, Stroh, ... ) </t>
    </r>
  </si>
  <si>
    <r>
      <t>N</t>
    </r>
    <r>
      <rPr>
        <vertAlign val="subscript"/>
        <sz val="10"/>
        <rFont val="Arial Narrow"/>
        <family val="2"/>
      </rPr>
      <t>tot</t>
    </r>
    <r>
      <rPr>
        <sz val="10"/>
        <rFont val="Arial Narrow"/>
        <family val="2"/>
      </rPr>
      <t xml:space="preserve"> : Gesamt-Stickstoff (unabhängig von der Form); kaum vermeidbare Verluste in Stall und während Lagerung abgezogen.</t>
    </r>
  </si>
  <si>
    <t>korrigiert (1)</t>
  </si>
  <si>
    <t>korrigiert (2)</t>
  </si>
  <si>
    <t>korrigiert (3)</t>
  </si>
  <si>
    <t>korrigiert (4)</t>
  </si>
  <si>
    <t>korrigiert (5)</t>
  </si>
  <si>
    <t>korrigiert (6)</t>
  </si>
  <si>
    <t>korrigiert (7)</t>
  </si>
  <si>
    <t>korrigiert (8)</t>
  </si>
  <si>
    <t>nötig für Weideabzug bei I/E-Bilanz</t>
  </si>
  <si>
    <t>JM</t>
  </si>
  <si>
    <t>KF</t>
  </si>
  <si>
    <t>GF-Verzehrskorrektur nach KF:</t>
  </si>
  <si>
    <t>Legehennen: Bodenhaltung, Kotgrube (100 Pl.)</t>
  </si>
  <si>
    <t>Abk.</t>
  </si>
  <si>
    <t xml:space="preserve">
Umrechnungshilfe
SuiBiTrans  --&gt;</t>
  </si>
  <si>
    <t xml:space="preserve">              Übertrag der Vergärungsprodukte gemäss Auszug HODUFLU  </t>
  </si>
  <si>
    <t>Raps Winter-, Nitrat-Projekt</t>
  </si>
  <si>
    <t>Stop</t>
  </si>
  <si>
    <t>stop</t>
  </si>
  <si>
    <t>dt TS GF pro Kuh/Jahr</t>
  </si>
  <si>
    <t>Milchleistung</t>
  </si>
  <si>
    <t>kg/Kuh/Jahr</t>
  </si>
  <si>
    <r>
      <t>N</t>
    </r>
    <r>
      <rPr>
        <b/>
        <vertAlign val="subscript"/>
        <sz val="10"/>
        <rFont val="Arial"/>
        <family val="2"/>
      </rPr>
      <t>ges</t>
    </r>
  </si>
  <si>
    <t>max. mögliche weitere Zufuhr (inkl. Fehlerbereich)</t>
  </si>
  <si>
    <t xml:space="preserve">   </t>
  </si>
  <si>
    <t xml:space="preserve">      Schweine (Kategorien)</t>
  </si>
  <si>
    <t xml:space="preserve">     Geflügel (Kategorien)</t>
  </si>
  <si>
    <t>Heil- u. Gewürzpflanzen (mehrjährig) -&gt; siehe Kräuter (mehrjährig)</t>
  </si>
  <si>
    <t>krm1</t>
  </si>
  <si>
    <t>krm2</t>
  </si>
  <si>
    <t>krm3</t>
  </si>
  <si>
    <t>krm4</t>
  </si>
  <si>
    <t>Acker</t>
  </si>
  <si>
    <t>Kulturen_</t>
  </si>
  <si>
    <t>uG</t>
  </si>
  <si>
    <t>oG</t>
  </si>
  <si>
    <t>gu2g</t>
  </si>
  <si>
    <t>Portulak, GH</t>
  </si>
  <si>
    <t>porg</t>
  </si>
  <si>
    <t>Bemerk.</t>
  </si>
  <si>
    <r>
      <t xml:space="preserve">Total auf den Weiden durch die Weidetiere gedüngt </t>
    </r>
    <r>
      <rPr>
        <sz val="8"/>
        <rFont val="Arial"/>
        <family val="2"/>
      </rPr>
      <t>(nach N-Abzug Weide)</t>
    </r>
    <r>
      <rPr>
        <sz val="9"/>
        <rFont val="Arial"/>
        <family val="2"/>
      </rPr>
      <t xml:space="preserve"> </t>
    </r>
  </si>
  <si>
    <t>Bei nachstehenden Tierkategorien ist die Lineare Korrektur nach Futtergehalten</t>
  </si>
  <si>
    <t>Durchschnittsgehalte</t>
  </si>
  <si>
    <t xml:space="preserve"> Zuchtschweine</t>
  </si>
  <si>
    <t xml:space="preserve"> Ferkel</t>
  </si>
  <si>
    <t xml:space="preserve"> Tierkategorie</t>
  </si>
  <si>
    <t>Bohnen, Verarbeitung-</t>
  </si>
  <si>
    <t>Kabis, Einschneide-</t>
  </si>
  <si>
    <t>Kabis, Lager-</t>
  </si>
  <si>
    <t>Sellerie, Knollen-</t>
  </si>
  <si>
    <t>Sellerie, Stangen-</t>
  </si>
  <si>
    <t>Aubergine, GH, Erdkultur</t>
  </si>
  <si>
    <t>Gurken, 30 Stk./m2, GH Erdkultur</t>
  </si>
  <si>
    <t>Gurken, 50 Stk./m2, GH Erdkultur</t>
  </si>
  <si>
    <t>Obstanlagen, Kern-</t>
  </si>
  <si>
    <t>(V1+V2)/(A1+A3)</t>
  </si>
  <si>
    <t>wh</t>
  </si>
  <si>
    <t>rp</t>
  </si>
  <si>
    <t>sh</t>
  </si>
  <si>
    <t>wr</t>
  </si>
  <si>
    <t>rh</t>
  </si>
  <si>
    <t>wenig intensive Wiesen &amp; Weiden *</t>
  </si>
  <si>
    <t>Grünmais (2. Kultur) -&gt; Eingabe bei Grundfutterproduktion !</t>
  </si>
  <si>
    <t xml:space="preserve">  Sollte mind. 80% sein, wegen N-Korrektur (wenn mit BIO-Standard-Ertrag gerechnet wird d.h. kein betriebsspez. Ertrag eingegeben wird) </t>
  </si>
  <si>
    <r>
      <t xml:space="preserve">geltend gemacht, so sind diese mit einer </t>
    </r>
    <r>
      <rPr>
        <b/>
        <u/>
        <sz val="10"/>
        <color indexed="10"/>
        <rFont val="Arial"/>
        <family val="2"/>
      </rPr>
      <t>"Ertragsschätzung"</t>
    </r>
  </si>
  <si>
    <r>
      <rPr>
        <b/>
        <u/>
        <sz val="10"/>
        <color indexed="10"/>
        <rFont val="Arial"/>
        <family val="2"/>
      </rPr>
      <t>gemäss DZV Anhang 1 Ziffer 2.1.11 nachzuweisen</t>
    </r>
    <r>
      <rPr>
        <b/>
        <sz val="10"/>
        <color indexed="10"/>
        <rFont val="Arial"/>
        <family val="2"/>
      </rPr>
      <t xml:space="preserve">. </t>
    </r>
  </si>
  <si>
    <t>wenn 1 Ertragsschätzung nötig ist</t>
  </si>
  <si>
    <t>*Ertragsschätzung*</t>
  </si>
  <si>
    <t xml:space="preserve"> (d.h. ist Ertrag plausibel aufgrund von Nutzung, Düngung, Wiesenbestand, Standort?)</t>
  </si>
  <si>
    <t xml:space="preserve">   Der Stickstoffhaushalt darf höchstens ausgeglichen bilanziert werden </t>
  </si>
  <si>
    <t xml:space="preserve">   Der Phosphorhaushalt darf höchstens ausgeglichen bilanziert werden (Planung für Hofdüngerabnahmeverträge, Tierbesatz usw.
= max. 100 %). </t>
  </si>
  <si>
    <t xml:space="preserve">    bestimmten Betrieben beträgt der P-Fehlerbereich aber  0 %:  </t>
  </si>
  <si>
    <t xml:space="preserve">     Im Vollzug werden i.d.R.10 % Fehlerbereich toleriert, bei bestimmten Betrieben beträgt der P-Fehlerbereich aber  0 %:  </t>
  </si>
  <si>
    <t xml:space="preserve">     (Planung für Hofdüngerabnahmeverträge,
Tierbesatz etc. = max. 100 %).</t>
  </si>
  <si>
    <t>Anteile am Bedarf C</t>
  </si>
  <si>
    <r>
      <t xml:space="preserve">  </t>
    </r>
    <r>
      <rPr>
        <b/>
        <sz val="10"/>
        <color indexed="12"/>
        <rFont val="Arial"/>
        <family val="2"/>
      </rPr>
      <t>&gt; unvergärte Hofdünger (A3)</t>
    </r>
    <r>
      <rPr>
        <sz val="10"/>
        <rFont val="Arial"/>
        <family val="2"/>
      </rPr>
      <t xml:space="preserve">  -&gt; Wegleitung 3.6</t>
    </r>
  </si>
  <si>
    <r>
      <rPr>
        <sz val="10"/>
        <color indexed="12"/>
        <rFont val="Arial"/>
        <family val="2"/>
      </rPr>
      <t xml:space="preserve">  &gt; </t>
    </r>
    <r>
      <rPr>
        <b/>
        <sz val="10"/>
        <color indexed="12"/>
        <rFont val="Arial"/>
        <family val="2"/>
      </rPr>
      <t xml:space="preserve">Vergärungsprodukte (E ) </t>
    </r>
    <r>
      <rPr>
        <b/>
        <sz val="10"/>
        <color indexed="12"/>
        <rFont val="Arial"/>
        <family val="2"/>
      </rPr>
      <t xml:space="preserve"> </t>
    </r>
    <r>
      <rPr>
        <sz val="10"/>
        <rFont val="Arial"/>
        <family val="2"/>
      </rPr>
      <t xml:space="preserve">-&gt; siehe Wegleitung 3.9   (= Produkte aus Vergärungsanlagen) </t>
    </r>
  </si>
  <si>
    <r>
      <t xml:space="preserve">  &gt; </t>
    </r>
    <r>
      <rPr>
        <b/>
        <sz val="10"/>
        <color indexed="12"/>
        <rFont val="Arial"/>
        <family val="2"/>
      </rPr>
      <t>übrige Dünger (D)</t>
    </r>
    <r>
      <rPr>
        <sz val="10"/>
        <color indexed="12"/>
        <rFont val="Arial"/>
        <family val="2"/>
      </rPr>
      <t xml:space="preserve"> -&gt; siehe Wegleitung 3.8 </t>
    </r>
  </si>
  <si>
    <t xml:space="preserve">     BIO: Insgesamt dürfen maximal 50% des Bedarfs mit zugeführten Vergärungsprodukten abgedeckt werden (siehe BIO Suisse Richtlinie). </t>
  </si>
  <si>
    <r>
      <t xml:space="preserve">     BIO: Hofdünger muss von anerkannten Biobetrieben stammen. Wo keine ausreichende Versorgung mit BIO-Hofdüngern (hofeigene und fremde) möglich ist, darf max. 50% (mit Bewilligung max. 80%) des Bedarfs an N resp. P gemäss Suisse-Bilanz von </t>
    </r>
    <r>
      <rPr>
        <b/>
        <sz val="10"/>
        <color indexed="17"/>
        <rFont val="Arial"/>
        <family val="2"/>
      </rPr>
      <t>nicht-biologischen</t>
    </r>
    <r>
      <rPr>
        <sz val="10"/>
        <color indexed="17"/>
        <rFont val="Arial"/>
        <family val="2"/>
      </rPr>
      <t xml:space="preserve"> Betrieben stammen (siehe BIO Suisse Richtlinie).</t>
    </r>
  </si>
  <si>
    <t>Übersicht Suisse-Bilanz</t>
  </si>
  <si>
    <t>% Anteile</t>
  </si>
  <si>
    <t>Nverf, kg/Jahr</t>
  </si>
  <si>
    <t>Bedarf = 100%</t>
  </si>
  <si>
    <t>Nverf (kg)</t>
  </si>
  <si>
    <t>P2O5 (kg)</t>
  </si>
  <si>
    <t>Bedarf</t>
  </si>
  <si>
    <t>Beschriftung</t>
  </si>
  <si>
    <t>C1</t>
  </si>
  <si>
    <t>Bedarf Grundfutterfläche</t>
  </si>
  <si>
    <t>C2+C3</t>
  </si>
  <si>
    <t>Bedarf Acker- und Spezialkulturen</t>
  </si>
  <si>
    <t>aus Tierhaltung</t>
  </si>
  <si>
    <t>von A2</t>
  </si>
  <si>
    <t xml:space="preserve">1)           </t>
  </si>
  <si>
    <t>Saldo A3</t>
  </si>
  <si>
    <t>Zu- und Wegfuhr Hofdünger</t>
  </si>
  <si>
    <t>A3</t>
  </si>
  <si>
    <t>Saldo E</t>
  </si>
  <si>
    <t>Vergärungsprodukte</t>
  </si>
  <si>
    <t>E</t>
  </si>
  <si>
    <t>Saldo D</t>
  </si>
  <si>
    <t>übrige Dünger</t>
  </si>
  <si>
    <t>D</t>
  </si>
  <si>
    <t>Fehlerbereich</t>
  </si>
  <si>
    <t>max. Fehlerbereich</t>
  </si>
  <si>
    <t>FB</t>
  </si>
  <si>
    <t xml:space="preserve">Summe ohne FB </t>
  </si>
  <si>
    <t xml:space="preserve">TOTAL mit FB </t>
  </si>
  <si>
    <t>innerbetrieblicher</t>
  </si>
  <si>
    <t>Limite</t>
  </si>
  <si>
    <r>
      <t>Nährstofftransfer GF</t>
    </r>
    <r>
      <rPr>
        <vertAlign val="subscript"/>
        <sz val="10"/>
        <rFont val="Arial Narrow"/>
        <family val="2"/>
      </rPr>
      <t>T</t>
    </r>
  </si>
  <si>
    <t>Gesamtbilanz</t>
  </si>
  <si>
    <t>Differenz zur Limite</t>
  </si>
  <si>
    <t>1) Brechnung "A2 gedüngt"</t>
  </si>
  <si>
    <t xml:space="preserve">    (A2 - neg. Saldo Wegfuhren - Transfer)</t>
  </si>
  <si>
    <t>Phosphor</t>
  </si>
  <si>
    <r>
      <t>P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5</t>
    </r>
    <r>
      <rPr>
        <sz val="10"/>
        <rFont val="Arial"/>
        <family val="2"/>
      </rPr>
      <t>, kg/Jahr</t>
    </r>
  </si>
  <si>
    <t xml:space="preserve"> 1) neg. Saldo A3</t>
  </si>
  <si>
    <t xml:space="preserve"> 2) neg. Saldo E</t>
  </si>
  <si>
    <t xml:space="preserve"> 3) neg. Saldo D</t>
  </si>
  <si>
    <t xml:space="preserve"> - Summe 1-4</t>
  </si>
  <si>
    <t xml:space="preserve"> = A2 gedüngt</t>
  </si>
  <si>
    <t xml:space="preserve"> A2 </t>
  </si>
  <si>
    <t xml:space="preserve"> 4) innerbetr.Transfer</t>
  </si>
  <si>
    <t>Werte aus Berechnung "Suisse_Bilanz_..."</t>
  </si>
  <si>
    <t>https://www.blw.admin.ch/blw/de/home/instrumente/direktzahlungen/oekologischer-leistungsnachweis/ausgeglichene-duengerbilanz.html</t>
  </si>
  <si>
    <t xml:space="preserve">   - BLW: Instrumente &gt; Direktzahlungen &gt; ökologischer Leistungsnachweis &gt; Düngerbilanz &gt; Rechtliche Grundlagen</t>
  </si>
  <si>
    <t>https://www.blw.admin.ch/blw/de/home/instrumente/direktzahlungen/produktionssystembeitraege/beitrag-fuer-graslandbasierte-milch--und-fleischproduktion.html</t>
  </si>
  <si>
    <r>
      <t xml:space="preserve">    - </t>
    </r>
    <r>
      <rPr>
        <b/>
        <sz val="9"/>
        <rFont val="Arial Narrow"/>
        <family val="2"/>
      </rPr>
      <t xml:space="preserve">pro Tierkategorie Kraftfutter pro Jahr erfassen in dt Frischsubstanz </t>
    </r>
    <r>
      <rPr>
        <sz val="9"/>
        <rFont val="Arial Narrow"/>
        <family val="2"/>
      </rPr>
      <t xml:space="preserve">(= Total Kraftfutterverzehr </t>
    </r>
  </si>
  <si>
    <t>170-230</t>
  </si>
  <si>
    <t>Änd 1.14</t>
  </si>
  <si>
    <t>Bisons &gt; 900 d</t>
  </si>
  <si>
    <t>Maultiere, Maulesel (&gt; 180 d)</t>
  </si>
  <si>
    <t>mte1</t>
  </si>
  <si>
    <t>mte2</t>
  </si>
  <si>
    <t>Maultiere, Maulesel (bis 180 d)</t>
  </si>
  <si>
    <t>Getreide-Silage</t>
  </si>
  <si>
    <t>Getreide-Silage mit Leguminosen</t>
  </si>
  <si>
    <t>fix 106</t>
  </si>
  <si>
    <t>Legehennen: Kotband (100 Pl.)</t>
  </si>
  <si>
    <t>Winter-Futterweizen</t>
  </si>
  <si>
    <t>KF kg/Kuh</t>
  </si>
  <si>
    <t>*Rindvieh-Weidemast (Pl.), &gt; 4 Monate</t>
  </si>
  <si>
    <t>kg / t Frischsubstanz</t>
  </si>
  <si>
    <t>Mittel</t>
  </si>
  <si>
    <t>Bereich</t>
  </si>
  <si>
    <t>2-15</t>
  </si>
  <si>
    <t>0.01-3</t>
  </si>
  <si>
    <t>1-15</t>
  </si>
  <si>
    <t>2-17</t>
  </si>
  <si>
    <t>0.5-10</t>
  </si>
  <si>
    <t>7-28</t>
  </si>
  <si>
    <r>
      <t xml:space="preserve"> * N</t>
    </r>
    <r>
      <rPr>
        <vertAlign val="subscript"/>
        <sz val="10"/>
        <rFont val="Arial Narrow"/>
        <family val="2"/>
      </rPr>
      <t>verf</t>
    </r>
    <r>
      <rPr>
        <sz val="10"/>
        <rFont val="Arial Narrow"/>
        <family val="2"/>
      </rPr>
      <t xml:space="preserve"> = N</t>
    </r>
    <r>
      <rPr>
        <vertAlign val="subscript"/>
        <sz val="10"/>
        <rFont val="Arial Narrow"/>
        <family val="2"/>
      </rPr>
      <t>ges</t>
    </r>
    <r>
      <rPr>
        <sz val="10"/>
        <rFont val="Arial Narrow"/>
        <family val="2"/>
      </rPr>
      <t xml:space="preserve"> HODUFLU-Lieferschein * 20% </t>
    </r>
  </si>
  <si>
    <r>
      <rPr>
        <b/>
        <sz val="9"/>
        <color rgb="FF9900FF"/>
        <rFont val="Arial Narrow"/>
        <family val="2"/>
      </rPr>
      <t>Hinweis:</t>
    </r>
    <r>
      <rPr>
        <sz val="9"/>
        <color rgb="FF9900FF"/>
        <rFont val="Arial Narrow"/>
        <family val="2"/>
      </rPr>
      <t xml:space="preserve"> Die Futterbilanz gilt nur zusammen mit der Nährstoffbilanz des entsprechenden Jahres, </t>
    </r>
  </si>
  <si>
    <r>
      <t xml:space="preserve">                weil die </t>
    </r>
    <r>
      <rPr>
        <b/>
        <sz val="9"/>
        <color rgb="FF9900FF"/>
        <rFont val="Arial Narrow"/>
        <family val="2"/>
      </rPr>
      <t>Futterbilanz</t>
    </r>
    <r>
      <rPr>
        <sz val="9"/>
        <color rgb="FF9900FF"/>
        <rFont val="Arial Narrow"/>
        <family val="2"/>
      </rPr>
      <t xml:space="preserve"> mit den Daten der </t>
    </r>
    <r>
      <rPr>
        <b/>
        <sz val="9"/>
        <color rgb="FF9900FF"/>
        <rFont val="Arial Narrow"/>
        <family val="2"/>
      </rPr>
      <t xml:space="preserve">Nährstoffbilanz </t>
    </r>
    <r>
      <rPr>
        <b/>
        <u/>
        <sz val="9"/>
        <color rgb="FF9900FF"/>
        <rFont val="Arial Narrow"/>
        <family val="2"/>
      </rPr>
      <t>übereinstimmen</t>
    </r>
    <r>
      <rPr>
        <sz val="9"/>
        <color rgb="FF9900FF"/>
        <rFont val="Arial Narrow"/>
        <family val="2"/>
      </rPr>
      <t xml:space="preserve"> muss.</t>
    </r>
  </si>
  <si>
    <t>2. "Gebietszuteilung" auswählen</t>
  </si>
  <si>
    <r>
      <t xml:space="preserve">3. </t>
    </r>
    <r>
      <rPr>
        <b/>
        <sz val="9"/>
        <rFont val="Arial Narrow"/>
        <family val="2"/>
      </rPr>
      <t>Teil A: Grund- und Kraftfutterverzehr</t>
    </r>
  </si>
  <si>
    <r>
      <t xml:space="preserve">4. </t>
    </r>
    <r>
      <rPr>
        <b/>
        <sz val="9"/>
        <rFont val="Arial Narrow"/>
        <family val="2"/>
      </rPr>
      <t>Teil B: Grundfutterproduktion:</t>
    </r>
    <r>
      <rPr>
        <sz val="9"/>
        <rFont val="Arial Narrow"/>
        <family val="2"/>
      </rPr>
      <t xml:space="preserve">   Daten gemäss Erfassung im Blatt "Suisse-Bilanz_..."</t>
    </r>
  </si>
  <si>
    <r>
      <t xml:space="preserve">5. </t>
    </r>
    <r>
      <rPr>
        <b/>
        <sz val="9"/>
        <rFont val="Arial Narrow"/>
        <family val="2"/>
      </rPr>
      <t>Teil C: Zu- und Wegfuhr Grundfutter:</t>
    </r>
    <r>
      <rPr>
        <sz val="9"/>
        <rFont val="Arial Narrow"/>
        <family val="2"/>
      </rPr>
      <t xml:space="preserve">    Daten gemäss Erfassung im Blatt "Suisse-Bilanz_..."</t>
    </r>
  </si>
  <si>
    <r>
      <t xml:space="preserve">6. </t>
    </r>
    <r>
      <rPr>
        <b/>
        <sz val="9"/>
        <rFont val="Arial Narrow"/>
        <family val="2"/>
      </rPr>
      <t xml:space="preserve">Teil D: Futtermengen (dt TS) und -anteile (%) am Futterbedarf </t>
    </r>
  </si>
  <si>
    <r>
      <t xml:space="preserve">1. </t>
    </r>
    <r>
      <rPr>
        <b/>
        <sz val="9"/>
        <color rgb="FF9966FF"/>
        <rFont val="Arial Narrow"/>
        <family val="2"/>
      </rPr>
      <t xml:space="preserve">zuerst Suisse-Bilanz ... ausfüllen,  </t>
    </r>
  </si>
  <si>
    <t xml:space="preserve">                     weil die Futterbilanz mit der Suisse-Bilanz übereinstimmen muss </t>
  </si>
  <si>
    <t>Pferde (bis 180 d, &gt;148 cm od. div. Rassen)</t>
  </si>
  <si>
    <t>Lineare Korrektur nach Futtergehalten (LK)</t>
  </si>
  <si>
    <t>diese Zeile ist frei zum Gebrauch</t>
  </si>
  <si>
    <t>Hennen/Junghennenkot (Kotband)</t>
  </si>
  <si>
    <t>Junghennenmist (Kotgrube, Bodenhaltung)</t>
  </si>
  <si>
    <t>berechnet</t>
  </si>
  <si>
    <r>
      <t>Mittlere Gehalte von Recyclingdüngern</t>
    </r>
    <r>
      <rPr>
        <sz val="9"/>
        <rFont val="Arial Narrow"/>
        <family val="2"/>
      </rPr>
      <t xml:space="preserve">  (nach GRUD 2017, Modul 4, Tab. 8)</t>
    </r>
  </si>
  <si>
    <t>Quelle: GRUD 2017</t>
  </si>
  <si>
    <t>GRUD 2017, Modul 4/ Eigenschaften und Anwendung von Düngern, Tab. 6</t>
  </si>
  <si>
    <t>diese Zeile so belassen (nicht für Kultur verwenden)</t>
  </si>
  <si>
    <r>
      <t xml:space="preserve">
Impex      --&gt; 
    (BLW)      </t>
    </r>
    <r>
      <rPr>
        <sz val="10"/>
        <color indexed="9"/>
        <rFont val="Arial Narrow"/>
        <family val="2"/>
      </rPr>
      <t xml:space="preserve"> .</t>
    </r>
    <r>
      <rPr>
        <sz val="10"/>
        <color indexed="12"/>
        <rFont val="Arial Narrow"/>
        <family val="2"/>
      </rPr>
      <t xml:space="preserve">   
Wegleitung NPr --&gt;  
</t>
    </r>
    <r>
      <rPr>
        <sz val="10"/>
        <color indexed="20"/>
        <rFont val="Arial Narrow"/>
        <family val="2"/>
      </rPr>
      <t xml:space="preserve">Impex       --&gt; 
   (agridea) </t>
    </r>
    <r>
      <rPr>
        <sz val="10"/>
        <color indexed="12"/>
        <rFont val="Arial Narrow"/>
        <family val="2"/>
      </rPr>
      <t xml:space="preserve">   </t>
    </r>
    <r>
      <rPr>
        <sz val="10"/>
        <color indexed="9"/>
        <rFont val="Arial Narrow"/>
        <family val="2"/>
      </rPr>
      <t>.</t>
    </r>
    <r>
      <rPr>
        <sz val="10"/>
        <color indexed="12"/>
        <rFont val="Arial Narrow"/>
        <family val="2"/>
      </rPr>
      <t xml:space="preserve">
</t>
    </r>
  </si>
  <si>
    <r>
      <t xml:space="preserve">
&gt; BLW  &gt; Instrumente  &gt; Direktzahlungen
     &gt; Ökologischer Leistungsnachweis
         &gt; Ausgeglichene Düngerbilanz und 
                 Bodenuntersuchungen (DZV Art. 13)
           </t>
    </r>
    <r>
      <rPr>
        <b/>
        <sz val="10"/>
        <color indexed="12"/>
        <rFont val="Arial Narrow"/>
        <family val="2"/>
      </rPr>
      <t xml:space="preserve"> &gt; rechtliche Grundlagen </t>
    </r>
  </si>
  <si>
    <t>Bundesamt für Landwirtschaft</t>
  </si>
  <si>
    <r>
      <t xml:space="preserve">     - </t>
    </r>
    <r>
      <rPr>
        <b/>
        <sz val="9"/>
        <rFont val="Arial"/>
        <family val="2"/>
      </rPr>
      <t>Umrechnungshilfe</t>
    </r>
    <r>
      <rPr>
        <sz val="9"/>
        <rFont val="Arial"/>
        <family val="2"/>
      </rPr>
      <t xml:space="preserve">  zur Übernahme von TVD-Rindviehbeständen in die Suisse-Bilanz</t>
    </r>
  </si>
  <si>
    <r>
      <t>kg / m</t>
    </r>
    <r>
      <rPr>
        <b/>
        <vertAlign val="superscript"/>
        <sz val="9"/>
        <rFont val="Arial"/>
        <family val="2"/>
      </rPr>
      <t>3</t>
    </r>
    <r>
      <rPr>
        <b/>
        <sz val="9"/>
        <rFont val="Arial"/>
        <family val="2"/>
      </rPr>
      <t xml:space="preserve"> Gülle </t>
    </r>
    <r>
      <rPr>
        <sz val="9"/>
        <rFont val="Arial"/>
        <family val="2"/>
      </rPr>
      <t xml:space="preserve"> bzw.  </t>
    </r>
    <r>
      <rPr>
        <b/>
        <sz val="9"/>
        <rFont val="Arial"/>
        <family val="2"/>
      </rPr>
      <t>kg / t Mist</t>
    </r>
  </si>
  <si>
    <t>fw</t>
  </si>
  <si>
    <t>Nebenprodukte</t>
  </si>
  <si>
    <t>übriges Grundfutter</t>
  </si>
  <si>
    <t>Rau- und Saftfutter</t>
  </si>
  <si>
    <t>Lagerungs- und Krippenverluste  C7:</t>
  </si>
  <si>
    <t>Fehlerbereich GF-Bilanz  C8:</t>
  </si>
  <si>
    <t>C6:</t>
  </si>
  <si>
    <t>aus Verarbeitung</t>
  </si>
  <si>
    <t>Lebensmittel</t>
  </si>
  <si>
    <t>Nicht-Gras - Nebenprodukte aus der Verarbeitung von Lebensmitteln</t>
  </si>
  <si>
    <t>1+5+6</t>
  </si>
  <si>
    <t>Nicht-Gras - Nebenprodukte aus VL</t>
  </si>
  <si>
    <t>Nebenprodukte aus VL</t>
  </si>
  <si>
    <r>
      <t xml:space="preserve">C6 </t>
    </r>
    <r>
      <rPr>
        <b/>
        <sz val="8"/>
        <rFont val="Arial Narrow"/>
        <family val="2"/>
      </rPr>
      <t xml:space="preserve"> </t>
    </r>
    <r>
      <rPr>
        <b/>
        <sz val="8"/>
        <color rgb="FF0000FF"/>
        <rFont val="Arial Narrow"/>
        <family val="2"/>
      </rPr>
      <t>(1)</t>
    </r>
  </si>
  <si>
    <r>
      <t xml:space="preserve">A4+A7 in TS  </t>
    </r>
    <r>
      <rPr>
        <b/>
        <sz val="8"/>
        <color rgb="FF0000FF"/>
        <rFont val="Arial Narrow"/>
        <family val="2"/>
      </rPr>
      <t>(2)</t>
    </r>
  </si>
  <si>
    <t>Hirse</t>
  </si>
  <si>
    <t>hir</t>
  </si>
  <si>
    <t>kaa</t>
  </si>
  <si>
    <t>kab</t>
  </si>
  <si>
    <t>kac</t>
  </si>
  <si>
    <t>Kartoffeln Gruppe b, Speise-, Verarb.-</t>
  </si>
  <si>
    <t>Kartoffeln Gruppe a, Speise-, Verarb.-</t>
  </si>
  <si>
    <t>Kartoffeln Gruppe c, Speise-, Verarb.-</t>
  </si>
  <si>
    <t>fka</t>
  </si>
  <si>
    <t>fkb</t>
  </si>
  <si>
    <t>fkc</t>
  </si>
  <si>
    <t>Frühkartoffeln Gruppe a</t>
  </si>
  <si>
    <t>Frühkartoffeln Gruppe b</t>
  </si>
  <si>
    <t>Frühkartoffeln Gruppe c</t>
  </si>
  <si>
    <t>Pflanzkartoffeln</t>
  </si>
  <si>
    <t>Pflanzkartoffeln Gruppe a</t>
  </si>
  <si>
    <t>Pflanzkartoffeln Gruppe b</t>
  </si>
  <si>
    <t>Pflanzkartoffeln Gruppe c</t>
  </si>
  <si>
    <t>pk</t>
  </si>
  <si>
    <t>pka</t>
  </si>
  <si>
    <t>pkb</t>
  </si>
  <si>
    <t>pkc</t>
  </si>
  <si>
    <t>dt Hauptprodukt</t>
  </si>
  <si>
    <t>Gründüngung (Nichtlegum., 35 dt TS)</t>
  </si>
  <si>
    <t>Gründüngung (Leguminosen, 35 dt TS)</t>
  </si>
  <si>
    <t>Reis</t>
  </si>
  <si>
    <t>Cima di rapa (400 kg/a)</t>
  </si>
  <si>
    <t>cim</t>
  </si>
  <si>
    <t>Federkohl (300 kg/a)</t>
  </si>
  <si>
    <t>fed</t>
  </si>
  <si>
    <t>Rucola, 1 Schnitt (200 kg/a)</t>
  </si>
  <si>
    <t>Rucola, 2 Schnitte (300 kg/a)</t>
  </si>
  <si>
    <t>ruc1</t>
  </si>
  <si>
    <t>ruc2</t>
  </si>
  <si>
    <t>Pastinake (400 kg/a)</t>
  </si>
  <si>
    <t>pas</t>
  </si>
  <si>
    <t>Knoblauch (200 kg/a)</t>
  </si>
  <si>
    <t>kno</t>
  </si>
  <si>
    <t>Weinreben</t>
  </si>
  <si>
    <t xml:space="preserve">   Minikiwi, Holunder, Goji, Aronia, Lonicera</t>
  </si>
  <si>
    <t>Baumschulen</t>
  </si>
  <si>
    <t>bsc</t>
  </si>
  <si>
    <t>Änd 1.15</t>
  </si>
  <si>
    <t>ar1a</t>
  </si>
  <si>
    <t>ar1b</t>
  </si>
  <si>
    <t>Mastkälber (Pl.), 60-220 kg, 365 d besetzt gem. TVD</t>
  </si>
  <si>
    <t>Mastschweine (Pl.), 26-108 kg / Remonten</t>
  </si>
  <si>
    <t>Mastschwein / Remonte (St.), 26-108 kg</t>
  </si>
  <si>
    <t>Zuchtschweine inkl. Ferkel bis 26 kg</t>
  </si>
  <si>
    <t>*Galtsau, pro Umtrieb, 124 d pro Umtrieb</t>
  </si>
  <si>
    <t>*Säugende Zuchtsau, pro Umtrieb, 37 d pro Umtrieb</t>
  </si>
  <si>
    <t>abgesetzte Ferkel (Pl.), Zuw. 8-26 kg LG</t>
  </si>
  <si>
    <t>*abgesetzte Ferkel (St.), Zuw. 8-26 kg LG</t>
  </si>
  <si>
    <t>Junghennen (100 Pl.), 2.25 Umtriebe</t>
  </si>
  <si>
    <t>Masttruten (100 Pl.), 2.8 Umtriebe</t>
  </si>
  <si>
    <t>Truten-Vormast (100 Pl.), bis 1.5 kg, 6 Umtriebe</t>
  </si>
  <si>
    <t>Truten-Ausmast (100 Pl.), 1.5-13 kg LG, 2.9 Umtriebe</t>
  </si>
  <si>
    <t>601 - 700</t>
  </si>
  <si>
    <t>701 - 800</t>
  </si>
  <si>
    <t>801 - 900</t>
  </si>
  <si>
    <t>901 - 1100</t>
  </si>
  <si>
    <t xml:space="preserve"> "Zuchtschweine inkl. Ferkel bis 26 kg"</t>
  </si>
  <si>
    <t>(61% Zuchtschweinefutter + 39% Ferkelfutter)</t>
  </si>
  <si>
    <t xml:space="preserve">  mit Werten des Zuchtschweinefutters rechnen</t>
  </si>
  <si>
    <t xml:space="preserve">  berechnet mit 61% Anteil Zuchtschweinefutter + 39% Anteil Ferkelfutter</t>
  </si>
  <si>
    <t>Std-KF (kg)</t>
  </si>
  <si>
    <t>Abw.-KF (kg)</t>
  </si>
  <si>
    <t>KF (kg)</t>
  </si>
  <si>
    <t xml:space="preserve">                  wird die gesamte GF-Menge berechnet, welche auf der Futterfläche des Betriebes heranwachsen muss</t>
  </si>
  <si>
    <t>-&gt;    Massgebend sind die tatsächlichen Verhältnisse auf dem Betrieb !</t>
  </si>
  <si>
    <r>
      <t xml:space="preserve">- Der </t>
    </r>
    <r>
      <rPr>
        <b/>
        <sz val="10"/>
        <rFont val="Arial"/>
        <family val="2"/>
      </rPr>
      <t>Nährstofftransfer</t>
    </r>
    <r>
      <rPr>
        <sz val="10"/>
        <rFont val="Arial"/>
        <family val="2"/>
      </rPr>
      <t xml:space="preserve"> ist nur für das auf dem eigenen Betrieb produzierte und verfütterte Grundfutter von ungedüngten Wiesen</t>
    </r>
  </si>
  <si>
    <t xml:space="preserve">      möglich (extensive Wiesen + übrige Wiesen mit Düngeverbot - Wegfuhren); die massgebende Futtermenge ist begrenzt auf max. 25% der produzierten GF-Menge.</t>
  </si>
  <si>
    <t xml:space="preserve">für Kommentare </t>
  </si>
  <si>
    <t>wenn in Suisse-Bilanz GF-Rechnung nicht stimmt</t>
  </si>
  <si>
    <t xml:space="preserve">               c.  Nebenprodukte der Trocken- und Schälmüllerei: </t>
  </si>
  <si>
    <t xml:space="preserve">                              sowie Gemische davon</t>
  </si>
  <si>
    <t xml:space="preserve">                              Weizenkleie, </t>
  </si>
  <si>
    <t xml:space="preserve">                              Haferabfallmehl, </t>
  </si>
  <si>
    <t xml:space="preserve">                              Dinkel- und Haferspelzen, </t>
  </si>
  <si>
    <t xml:space="preserve">                              Dinkelspreu und Kornspreuer, </t>
  </si>
  <si>
    <t xml:space="preserve">       als Grudfutter anrechenbar. </t>
  </si>
  <si>
    <t xml:space="preserve">       sind diese mit einer Ertragsschätzung nachzuweisen. Der Kanton kann nicht plausible</t>
  </si>
  <si>
    <t xml:space="preserve">       Ertragsschätzungen zurückweisen. Der Gesuchsteller oder die Gesuchstellerin muss die Plausibilität </t>
  </si>
  <si>
    <t xml:space="preserve">       seiner Ertragsschätzungen auf Verlangen des Kantons zu seinen Lasten belegen. </t>
  </si>
  <si>
    <t>4.1 Für die abgeschlossenen Futterbilanzen gilt eine Aufbewahrungspflicht von sechs Jahren.</t>
  </si>
  <si>
    <t xml:space="preserve">       Die Kantone bestimmen, in welcher Form die Futterbilanz zu Plausibilisierungszwecken </t>
  </si>
  <si>
    <t xml:space="preserve">       eingereicht werden muss. </t>
  </si>
  <si>
    <t xml:space="preserve"> -&gt; massgebend ist die Direktzahlungsverordnung (DZV)</t>
  </si>
  <si>
    <t xml:space="preserve">                         nicht mehr als 15 Prozent der Gesamtration überschreiten, wobei die Ergänzungsfutter nach Ziffer 1.3 </t>
  </si>
  <si>
    <t xml:space="preserve">                         höchstens 10 Prozent der Gesamtration betragen dürfen. </t>
  </si>
  <si>
    <t>A5+A6+A7+C7+C8</t>
  </si>
  <si>
    <t>Nebenp.(1)+KF(2)</t>
  </si>
  <si>
    <t>wenn W&amp;W &gt; als GF Verzehr</t>
  </si>
  <si>
    <t>falls mittelintensive Wiesen</t>
  </si>
  <si>
    <t>falls wenig intensive Wiesen</t>
  </si>
  <si>
    <t>falls extensive Wiesen</t>
  </si>
  <si>
    <t>Ertrags-Änderung?</t>
  </si>
  <si>
    <t>TS-Menge?</t>
  </si>
  <si>
    <t xml:space="preserve">wenn Ertrag mittelintensive Wiese &gt; intensive </t>
  </si>
  <si>
    <t xml:space="preserve">wenn Ertrag wenig intensive Wiese &gt; mittelintensive </t>
  </si>
  <si>
    <t xml:space="preserve">wenn Ertrag extensive Wiese &gt; wenig intensive </t>
  </si>
  <si>
    <t xml:space="preserve">Zusatz zu Nr. 12 + 13 </t>
  </si>
  <si>
    <t>Rang Ert.änd.</t>
  </si>
  <si>
    <r>
      <t xml:space="preserve">- Bei den </t>
    </r>
    <r>
      <rPr>
        <b/>
        <sz val="10"/>
        <rFont val="Arial"/>
        <family val="2"/>
      </rPr>
      <t>Spezialkulturen</t>
    </r>
    <r>
      <rPr>
        <sz val="10"/>
        <rFont val="Arial"/>
        <family val="2"/>
      </rPr>
      <t xml:space="preserve"> können Sie die Erträge nicht verändern, es wird mit Standarderträgen gerechnet, z.T. abgestuft nach Ertragskategorie.</t>
    </r>
  </si>
  <si>
    <t>nur bis SB 1.14</t>
  </si>
  <si>
    <t xml:space="preserve">  Schnittgut von Streueflächen</t>
  </si>
  <si>
    <t>Milchkühe: Korrektur des Grundfutterverzehrs aufgrund der Kraftfuttergaben</t>
  </si>
  <si>
    <t xml:space="preserve">  Hofdü-Faktor (ca. GVE-Faktor) wird nur für Anfall an Mist und unverd. Gülle verwendet.</t>
  </si>
  <si>
    <t xml:space="preserve">  Weidefaktor =1 -&gt; Weideabzug möglich; Weidefaktor = 0 -&gt; kein Weideabzug</t>
  </si>
  <si>
    <t xml:space="preserve">  RV = Raufutterverzehrer mit mögl. Beitrag für GMF (zum addieren der Futter)</t>
  </si>
  <si>
    <t xml:space="preserve">  RVm = RV mit Milchproduktion -&gt; KF bei Sömmerung möglich</t>
  </si>
  <si>
    <t xml:space="preserve">  GF = übrige Tiere mit GF-Verzehr</t>
  </si>
  <si>
    <r>
      <rPr>
        <b/>
        <sz val="10"/>
        <rFont val="Arial"/>
        <family val="2"/>
      </rPr>
      <t xml:space="preserve">  GVE-Faktor</t>
    </r>
    <r>
      <rPr>
        <sz val="10"/>
        <rFont val="Arial"/>
        <family val="2"/>
      </rPr>
      <t xml:space="preserve"> für Berechnung Tierbesatz bei GMF -&gt; gemäss</t>
    </r>
    <r>
      <rPr>
        <b/>
        <sz val="10"/>
        <rFont val="Arial"/>
        <family val="2"/>
      </rPr>
      <t xml:space="preserve"> BegriffsVO (LBV)</t>
    </r>
  </si>
  <si>
    <r>
      <rPr>
        <sz val="8"/>
        <color rgb="FF0000FF"/>
        <rFont val="Arial Narrow"/>
        <family val="2"/>
      </rPr>
      <t xml:space="preserve">Nebenp.(1)+KF(2) </t>
    </r>
    <r>
      <rPr>
        <sz val="8"/>
        <rFont val="Arial Narrow"/>
        <family val="2"/>
      </rPr>
      <t>≤</t>
    </r>
  </si>
  <si>
    <t>A1-A2:</t>
  </si>
  <si>
    <t>B3+C4+C5-C2-A1+A2+A3</t>
  </si>
  <si>
    <t>Nebenprod. der Trocken- und Schälmüllerei</t>
  </si>
  <si>
    <t>Weizenkleie</t>
  </si>
  <si>
    <t>Haferabfallmehl</t>
  </si>
  <si>
    <t>Dinkelspelzen</t>
  </si>
  <si>
    <t>Haferspelzen</t>
  </si>
  <si>
    <t>Dinkelspreu</t>
  </si>
  <si>
    <t>Kornspreuer</t>
  </si>
  <si>
    <t>1-3=Gras, 4-5=Nicht-Gras, 6=Nicht-Gras - Nebenprodukte aus der Verarbeitung von Lebensmitteln</t>
  </si>
  <si>
    <t>Gemüse-Rüstabfälle</t>
  </si>
  <si>
    <t>300-400</t>
  </si>
  <si>
    <t>kg FS / m3</t>
  </si>
  <si>
    <t>kg / m3  Frischsubstanz</t>
  </si>
  <si>
    <t>Ernterückstände von Gemüse-</t>
  </si>
  <si>
    <t xml:space="preserve">   kulturen   -   Mittelwerte </t>
  </si>
  <si>
    <t>kg / t  Frischsubstanz</t>
  </si>
  <si>
    <t>pfe2</t>
  </si>
  <si>
    <t>Pferde (&gt; 900 d, &gt;148 cm od. div. Rassen)</t>
  </si>
  <si>
    <t>Aegidienberger, Appaloosa, Araber, arabisches Vollblut</t>
  </si>
  <si>
    <t>Berber</t>
  </si>
  <si>
    <t xml:space="preserve">Camargue, Criollo, Cruzado Iberico, </t>
  </si>
  <si>
    <t>Haflinger, Hannoveraner</t>
  </si>
  <si>
    <t>Irish Cob</t>
  </si>
  <si>
    <t>Leonharder</t>
  </si>
  <si>
    <t>Mangalarga Marchadores, Merens, Missouri Foxtrotter, Morgan</t>
  </si>
  <si>
    <t>Oldenburger Pferd</t>
  </si>
  <si>
    <t>Quarter Horse</t>
  </si>
  <si>
    <t>Rheinländer</t>
  </si>
  <si>
    <t>Tinker, Traber, Trait Comptois</t>
  </si>
  <si>
    <t>Palomino, Partbredaraber, Paso verschiedene Schläge, Pinto</t>
  </si>
  <si>
    <t xml:space="preserve"> Fussnote von Tab.1 der</t>
  </si>
  <si>
    <t xml:space="preserve">inkl. div. Pferderassen: </t>
  </si>
  <si>
    <t xml:space="preserve"> Wegleitung Suisse-Bilanz</t>
  </si>
  <si>
    <r>
      <t xml:space="preserve"> alle Tiere der Pferdegattung &lt;148 cm Widerristhöhe (ausgewachsen) mit Ausnahme der Rassen nach der </t>
    </r>
    <r>
      <rPr>
        <sz val="10"/>
        <color rgb="FF0000FF"/>
        <rFont val="Arial Narrow"/>
        <family val="2"/>
      </rPr>
      <t>Fussnote von Tab. 1 der Wegleitung Suisse-Bilanz</t>
    </r>
  </si>
  <si>
    <t xml:space="preserve"> je nach Alter anderer GVE-Faktor (LBV) </t>
  </si>
  <si>
    <r>
      <t xml:space="preserve">Informationsteil </t>
    </r>
    <r>
      <rPr>
        <b/>
        <sz val="8"/>
        <color indexed="62"/>
        <rFont val="Arial"/>
        <family val="2"/>
      </rPr>
      <t xml:space="preserve"> </t>
    </r>
    <r>
      <rPr>
        <sz val="10"/>
        <color indexed="62"/>
        <rFont val="Arial Narrow"/>
        <family val="2"/>
      </rPr>
      <t>(Angaben ohne Gewähr)</t>
    </r>
  </si>
  <si>
    <t>Vergärungsprodukte (für Daten Gültigkeit)</t>
  </si>
  <si>
    <t>vergärter Hofdünger</t>
  </si>
  <si>
    <t>Recyclingdünger</t>
  </si>
  <si>
    <t>Beschreibung</t>
  </si>
  <si>
    <t>flüssige Phase nach der Separierung von Gärgülle</t>
  </si>
  <si>
    <t>feste Phase nach der Separierung von Gärgülle</t>
  </si>
  <si>
    <t>flüssige Phase nach der Separierung von Gärgut</t>
  </si>
  <si>
    <t>feste Phase nach der Separierung von Gärgut</t>
  </si>
  <si>
    <t>Gesamtsubstrat nach der Vergärung. Der Anteil von Material nicht-landwirschaftlicher Herkunft ist grösser als 20% (FS).</t>
  </si>
  <si>
    <t>Flüssige Vergärungsprodukte</t>
  </si>
  <si>
    <t>Feste Vergärungsprodukte</t>
  </si>
  <si>
    <t xml:space="preserve"> Gärgülle - vergärter Hofdünger</t>
  </si>
  <si>
    <t xml:space="preserve"> Gärdünngülle - vergärter Hofdünger</t>
  </si>
  <si>
    <t xml:space="preserve"> Gärgut - Recyclingdünger</t>
  </si>
  <si>
    <t xml:space="preserve"> Flüssiges Gärgut - Recyclingdünger</t>
  </si>
  <si>
    <t xml:space="preserve"> Gärmist - vergärter Hofdünger</t>
  </si>
  <si>
    <t xml:space="preserve"> Festes Gärgut - Recyclingdünger</t>
  </si>
  <si>
    <t xml:space="preserve"> Feste Vergärungsprodukte, Summe HODUFLU </t>
  </si>
  <si>
    <t>Separatormist</t>
  </si>
  <si>
    <t xml:space="preserve"> aus Gehaltstabelle HODUFLU</t>
  </si>
  <si>
    <t>Diverse org. Materialien</t>
  </si>
  <si>
    <t xml:space="preserve"> Bem./Hinweise</t>
  </si>
  <si>
    <r>
      <t xml:space="preserve"> entweder </t>
    </r>
    <r>
      <rPr>
        <u/>
        <sz val="8"/>
        <rFont val="Arial Narrow"/>
        <family val="2"/>
      </rPr>
      <t>alle</t>
    </r>
    <r>
      <rPr>
        <sz val="8"/>
        <rFont val="Arial Narrow"/>
        <family val="2"/>
      </rPr>
      <t xml:space="preserve"> Kart. als "Standard-Kart." erfassen </t>
    </r>
    <r>
      <rPr>
        <b/>
        <sz val="8"/>
        <rFont val="Arial Narrow"/>
        <family val="2"/>
      </rPr>
      <t>oder</t>
    </r>
    <r>
      <rPr>
        <sz val="8"/>
        <rFont val="Arial Narrow"/>
        <family val="2"/>
      </rPr>
      <t xml:space="preserve"> </t>
    </r>
    <r>
      <rPr>
        <u/>
        <sz val="8"/>
        <rFont val="Arial Narrow"/>
        <family val="2"/>
      </rPr>
      <t>alle</t>
    </r>
    <r>
      <rPr>
        <sz val="8"/>
        <rFont val="Arial Narrow"/>
        <family val="2"/>
      </rPr>
      <t xml:space="preserve"> sortenspezifisch </t>
    </r>
  </si>
  <si>
    <t>100 Stk.</t>
  </si>
  <si>
    <t xml:space="preserve">Damhirsche (Einh.), Muttertier + Nachwuchs bis 16 Mt.= 1 Einheit = 2 Tiere am Stichtag </t>
  </si>
  <si>
    <t xml:space="preserve">Rothirsche (Einh.), Muttertier + Nachwuchs bis 16 Mt. = 1 Einheit = 2 Tiere am Stichtag </t>
  </si>
  <si>
    <t xml:space="preserve"> GF-Verzehr max. 6.5 dt TS / ZSP bei GF-Fütterung ganzes Jahr</t>
  </si>
  <si>
    <t xml:space="preserve"> GF-Verzehr max. 9.0 dt TS / Galtsauenpl. bei GF-Fütterung ganzes Jahr</t>
  </si>
  <si>
    <t>Wachteln (100 Stk.)</t>
  </si>
  <si>
    <t xml:space="preserve">Norm Himbeeren (20 t/ha) entfernt (Him2; Auflage BLW/Qualinova, 2018) </t>
  </si>
  <si>
    <t>Kl. Wk</t>
  </si>
  <si>
    <t>LK</t>
  </si>
  <si>
    <t>Spalten für Listen (Daten &gt; Gültigkeit &gt; Liste)</t>
  </si>
  <si>
    <t>massgebendes</t>
  </si>
  <si>
    <t>KF dt</t>
  </si>
  <si>
    <t>Anz. brutto</t>
  </si>
  <si>
    <t>massgebende Anz. und KF für GF-Vz Kühe</t>
  </si>
  <si>
    <r>
      <t>Dateneingabe</t>
    </r>
    <r>
      <rPr>
        <sz val="9"/>
        <rFont val="Arial Narrow"/>
        <family val="2"/>
      </rPr>
      <t xml:space="preserve"> - mit Tabulator-Taste jeweils ins nächste Eingabefeld springen</t>
    </r>
  </si>
  <si>
    <t>mit Norm von Körnermais rechnen, unabhängig vom TS-Gehalt (= Anweisung BLW/Qualinova, 2018)</t>
  </si>
  <si>
    <t xml:space="preserve"> = Bereich, welcher (nebst dem Gemüse) als 2.Kultur angewählt werden kann</t>
  </si>
  <si>
    <t>Milchkühe (7500 kg Jahresmilch, 806 kg KF)</t>
  </si>
  <si>
    <r>
      <t xml:space="preserve">3.4 Von der Berechnung der Futterbilanz </t>
    </r>
    <r>
      <rPr>
        <sz val="9"/>
        <color rgb="FFFF0000"/>
        <rFont val="Arial"/>
        <family val="2"/>
      </rPr>
      <t>befreit</t>
    </r>
    <r>
      <rPr>
        <sz val="9"/>
        <color indexed="12"/>
        <rFont val="Arial"/>
        <family val="2"/>
      </rPr>
      <t xml:space="preserve"> sind Betriebe, die ausschliesslich</t>
    </r>
  </si>
  <si>
    <t>vgl. Wegleitung 2.9:   Kurzpacht Gemüsekultur  -&gt; in Suisse-Bilanz des Kurzpächters</t>
  </si>
  <si>
    <t>vgl. Wegleitung 2.9:   Zwischenfutter, Gründüngung, Frühjahresnutzen -&gt; in Suisse-Bilanz des Standortbetriebs</t>
  </si>
  <si>
    <t>Haselnüsse</t>
  </si>
  <si>
    <t>wa1</t>
  </si>
  <si>
    <t>wa2</t>
  </si>
  <si>
    <t>has</t>
  </si>
  <si>
    <t>alles Jungvieh im Laufstall?</t>
  </si>
  <si>
    <t>Mutterkühe schwer, LG &gt; 700 kg (Werte ohne Kalb)</t>
  </si>
  <si>
    <t>Mutterkühe mittel, LG 600-700 kg (Werte ohne Kalb)</t>
  </si>
  <si>
    <t>Jungvieh 160-365 Tg. alt (Pl.)</t>
  </si>
  <si>
    <t>Jungvieh 1-2 jährig (Pl.)</t>
  </si>
  <si>
    <t>Jungvieh über 2 jährig (Pl.)</t>
  </si>
  <si>
    <t>Mutterkuhkalb bis 160 d (Pl.)</t>
  </si>
  <si>
    <t>Mutterkuhkalb &gt;160 d, mittelschwer (200-250 kg SG) (Pl.)</t>
  </si>
  <si>
    <t>mkk</t>
  </si>
  <si>
    <t>mkkm</t>
  </si>
  <si>
    <t>RV-Mast &gt; 160 d (1400 g TZW, 530 kg Ausstall-LG) (Pl.)</t>
  </si>
  <si>
    <t>Ponies, Kleinpferde, Esel (jeden Alters) (Pl.)</t>
  </si>
  <si>
    <t>ausblenden</t>
  </si>
  <si>
    <t>kg Milch/Kuh/Jahr</t>
  </si>
  <si>
    <r>
      <t>RV-Mast</t>
    </r>
    <r>
      <rPr>
        <b/>
        <sz val="8"/>
        <rFont val="Arial Narrow"/>
        <family val="2"/>
      </rPr>
      <t xml:space="preserve">  &gt;160 d (Pl.)</t>
    </r>
  </si>
  <si>
    <r>
      <t xml:space="preserve">Massgebend ist die </t>
    </r>
    <r>
      <rPr>
        <b/>
        <sz val="10"/>
        <color indexed="12"/>
        <rFont val="Arial"/>
        <family val="2"/>
      </rPr>
      <t xml:space="preserve">Wegleitung Suisse-Bilanz </t>
    </r>
    <r>
      <rPr>
        <b/>
        <sz val="10"/>
        <rFont val="Arial"/>
        <family val="2"/>
      </rPr>
      <t xml:space="preserve">von agridea und EVD/BLW, </t>
    </r>
    <r>
      <rPr>
        <b/>
        <sz val="10"/>
        <color indexed="12"/>
        <rFont val="Arial"/>
        <family val="2"/>
      </rPr>
      <t>nehmen Sie diese zur Hand!</t>
    </r>
  </si>
  <si>
    <r>
      <t>- Das Arbeitsblatt "</t>
    </r>
    <r>
      <rPr>
        <b/>
        <sz val="10"/>
        <rFont val="Arial"/>
        <family val="2"/>
      </rPr>
      <t>GMF</t>
    </r>
    <r>
      <rPr>
        <sz val="10"/>
        <rFont val="Arial"/>
        <family val="2"/>
      </rPr>
      <t xml:space="preserve">" dient der Berechnung der </t>
    </r>
    <r>
      <rPr>
        <b/>
        <sz val="10"/>
        <rFont val="Arial"/>
        <family val="2"/>
      </rPr>
      <t xml:space="preserve">Futterbilanz für die graslandbasierte Milch- und Fleischproduktion, Achtung: </t>
    </r>
    <r>
      <rPr>
        <sz val="10"/>
        <rFont val="Arial"/>
        <family val="2"/>
      </rPr>
      <t>zuerst die Suisse-Bilanz vollständig ausfüllen.</t>
    </r>
  </si>
  <si>
    <t>kg Ausstall-LG</t>
  </si>
  <si>
    <t>Abw.TZW (g)</t>
  </si>
  <si>
    <t>Abw. AS-LG (kg)</t>
  </si>
  <si>
    <r>
      <t xml:space="preserve">- </t>
    </r>
    <r>
      <rPr>
        <b/>
        <sz val="10"/>
        <rFont val="Arial"/>
        <family val="2"/>
      </rPr>
      <t xml:space="preserve">Milchkühe: </t>
    </r>
    <r>
      <rPr>
        <sz val="10"/>
        <rFont val="Arial"/>
        <family val="2"/>
      </rPr>
      <t xml:space="preserve">setzen Sie die </t>
    </r>
    <r>
      <rPr>
        <b/>
        <sz val="10"/>
        <rFont val="Arial"/>
        <family val="2"/>
      </rPr>
      <t>durchschnittliche Jahresmilch</t>
    </r>
    <r>
      <rPr>
        <sz val="10"/>
        <rFont val="Arial"/>
        <family val="2"/>
      </rPr>
      <t xml:space="preserve"> pro Kuh und Jahr ein</t>
    </r>
  </si>
  <si>
    <r>
      <t xml:space="preserve">Vergärungsprodukte und Ernterückstände Gemüse </t>
    </r>
    <r>
      <rPr>
        <sz val="8"/>
        <rFont val="Arial"/>
        <family val="2"/>
      </rPr>
      <t>(E)</t>
    </r>
  </si>
  <si>
    <r>
      <t xml:space="preserve"> Ernterückstände Gemüse</t>
    </r>
    <r>
      <rPr>
        <sz val="8"/>
        <rFont val="Arial"/>
        <family val="2"/>
      </rPr>
      <t xml:space="preserve"> (E3)</t>
    </r>
  </si>
  <si>
    <t xml:space="preserve"> Gärgülle und Gärdünngülle, Summe HODUFLU</t>
  </si>
  <si>
    <t>Recyclingdünger -&gt;</t>
  </si>
  <si>
    <t xml:space="preserve">verg.Hofdünger -&gt; </t>
  </si>
  <si>
    <t>gfms</t>
  </si>
  <si>
    <t>GF-Verz. Mastschw. dt TS total</t>
  </si>
  <si>
    <t>Silomais, Ganzpflanzen-Sorghum</t>
  </si>
  <si>
    <t>Grünmais / Ganzpfl.-Sorghum als 2. Kultur</t>
  </si>
  <si>
    <t>Zuchteber (Pl.)</t>
  </si>
  <si>
    <r>
      <t>N</t>
    </r>
    <r>
      <rPr>
        <vertAlign val="subscript"/>
        <sz val="10"/>
        <rFont val="Arial"/>
        <family val="2"/>
      </rPr>
      <t>ges</t>
    </r>
    <r>
      <rPr>
        <sz val="10"/>
        <rFont val="Arial"/>
        <family val="2"/>
      </rPr>
      <t xml:space="preserve"> LSR</t>
    </r>
  </si>
  <si>
    <t>Säugende Sauen (Pl.): 9.86 Umtr. pro Jahr</t>
  </si>
  <si>
    <t>Galtsauen (Pl.): 2.94 Umtr. pro Jahr</t>
  </si>
  <si>
    <t>mögliche zusätzliche Berechnungen (nur bei Bedarf):</t>
  </si>
  <si>
    <t xml:space="preserve">  GRUD 2017, Modul 4/ Eigenschaften und Anwendung von Düngern, Tab. 8</t>
  </si>
  <si>
    <t xml:space="preserve">  Bemerkungen</t>
  </si>
  <si>
    <t xml:space="preserve">  aus Wegleitung Suisse-Bilanz 1.16, Seite 15, Formular D</t>
  </si>
  <si>
    <t xml:space="preserve">                Wird ein Verzehr über 0.5 dt TS / Platz / Jahr geltend gemacht, ist der effektive Verzehr mit Modul 6/7 (I/E-Bilanz oder Lineare Korrektur nach Futtergehalten) nachzuweisen. Die GF sind in der Grundfutterrechnung korrekt einzubeziehen (z.B. verfüttertes Stroh). </t>
  </si>
  <si>
    <t xml:space="preserve">        Wenn Sie keine Erträge vorgeben, wird mit Standarderträgen gerechnet, ist in der Regel nicht sinnvoll, weil die effektiven Erträge (Mittel der letzten 3 Jahre) massgebend sind im ÖLN.</t>
  </si>
  <si>
    <r>
      <t xml:space="preserve">- </t>
    </r>
    <r>
      <rPr>
        <b/>
        <sz val="10"/>
        <rFont val="Arial"/>
        <family val="2"/>
      </rPr>
      <t>Acker-, Gemüse-, Dauerkulturen</t>
    </r>
    <r>
      <rPr>
        <sz val="10"/>
        <rFont val="Arial"/>
        <family val="2"/>
      </rPr>
      <t xml:space="preserve"> sowie </t>
    </r>
    <r>
      <rPr>
        <b/>
        <sz val="10"/>
        <rFont val="Arial"/>
        <family val="2"/>
      </rPr>
      <t>Zweit-, Dritt- und Zwischenkulturen</t>
    </r>
    <r>
      <rPr>
        <sz val="10"/>
        <rFont val="Arial"/>
        <family val="2"/>
      </rPr>
      <t xml:space="preserve"> eintragen im </t>
    </r>
    <r>
      <rPr>
        <b/>
        <sz val="10"/>
        <rFont val="Arial"/>
        <family val="2"/>
      </rPr>
      <t>angegebenen Abschnitt</t>
    </r>
    <r>
      <rPr>
        <sz val="10"/>
        <rFont val="Arial"/>
        <family val="2"/>
      </rPr>
      <t xml:space="preserve">, damit die Flächen </t>
    </r>
    <r>
      <rPr>
        <b/>
        <sz val="10"/>
        <rFont val="Arial"/>
        <family val="2"/>
      </rPr>
      <t>richtig</t>
    </r>
    <r>
      <rPr>
        <sz val="10"/>
        <rFont val="Arial"/>
        <family val="2"/>
      </rPr>
      <t xml:space="preserve"> mitgerechnet werden (offene Ackerfläche, Dauerkulturen, Zweitkulturen). </t>
    </r>
  </si>
  <si>
    <r>
      <t xml:space="preserve">  Hinweis: </t>
    </r>
    <r>
      <rPr>
        <i/>
        <sz val="10"/>
        <color indexed="16"/>
        <rFont val="Arial Narrow"/>
        <family val="2"/>
      </rPr>
      <t xml:space="preserve">An </t>
    </r>
    <r>
      <rPr>
        <b/>
        <i/>
        <sz val="10"/>
        <color indexed="16"/>
        <rFont val="Arial Narrow"/>
        <family val="2"/>
      </rPr>
      <t>Weidetagen</t>
    </r>
    <r>
      <rPr>
        <i/>
        <sz val="10"/>
        <color indexed="16"/>
        <rFont val="Arial Narrow"/>
        <family val="2"/>
      </rPr>
      <t xml:space="preserve"> mit </t>
    </r>
    <r>
      <rPr>
        <b/>
        <i/>
        <sz val="10"/>
        <color indexed="16"/>
        <rFont val="Arial Narrow"/>
        <family val="2"/>
      </rPr>
      <t>mehr als 12 Std.</t>
    </r>
    <r>
      <rPr>
        <i/>
        <sz val="10"/>
        <color indexed="16"/>
        <rFont val="Arial Narrow"/>
        <family val="2"/>
      </rPr>
      <t xml:space="preserve"> Weide ist </t>
    </r>
    <r>
      <rPr>
        <b/>
        <i/>
        <sz val="10"/>
        <color indexed="16"/>
        <rFont val="Arial Narrow"/>
        <family val="2"/>
      </rPr>
      <t>kein zusätzlicher Abzug für Laufhof</t>
    </r>
    <r>
      <rPr>
        <i/>
        <sz val="10"/>
        <color indexed="16"/>
        <rFont val="Arial Narrow"/>
        <family val="2"/>
      </rPr>
      <t xml:space="preserve"> möglich</t>
    </r>
    <r>
      <rPr>
        <i/>
        <sz val="10"/>
        <rFont val="Arial Narrow"/>
        <family val="2"/>
      </rPr>
      <t>; die Summe von Laufhof- und Weidezeit kann max. 1 Jahr sein (sonst erscheint L+W?); Weidetage mit &lt; 12 h Weide können gleichzeitig auch Laufhoftage sein.</t>
    </r>
  </si>
  <si>
    <r>
      <t xml:space="preserve">  Hinweis: bei </t>
    </r>
    <r>
      <rPr>
        <b/>
        <i/>
        <sz val="10"/>
        <rFont val="Arial Narrow"/>
        <family val="2"/>
      </rPr>
      <t>Geflügel</t>
    </r>
    <r>
      <rPr>
        <i/>
        <sz val="10"/>
        <rFont val="Arial Narrow"/>
        <family val="2"/>
      </rPr>
      <t xml:space="preserve"> ist kein Abzug für Weide möglich; der Aussenklimabereich gehört zum Gebäude, deshalb kein "Laufhofabzug". Für die Anzahl Tage Auslauf ausserhalb von Stall und Aussenklimabereich kann der</t>
    </r>
    <r>
      <rPr>
        <b/>
        <i/>
        <sz val="10"/>
        <rFont val="Arial Narrow"/>
        <family val="2"/>
      </rPr>
      <t xml:space="preserve"> "Laufhofabzug" </t>
    </r>
    <r>
      <rPr>
        <i/>
        <sz val="10"/>
        <rFont val="Arial Narrow"/>
        <family val="2"/>
      </rPr>
      <t>jedoch gemacht werden.</t>
    </r>
  </si>
  <si>
    <r>
      <t xml:space="preserve">- </t>
    </r>
    <r>
      <rPr>
        <b/>
        <sz val="10"/>
        <rFont val="Arial"/>
        <family val="2"/>
      </rPr>
      <t xml:space="preserve">Grundfutter-Verzehr Mastschweine: nur mit Nachweis mittels I/E-Bilanz möglich, </t>
    </r>
    <r>
      <rPr>
        <sz val="10"/>
        <rFont val="Arial"/>
        <family val="2"/>
      </rPr>
      <t xml:space="preserve">nur ausgewählte Grundfutter (siehe Wegleitung Position 2.10), </t>
    </r>
    <r>
      <rPr>
        <sz val="10"/>
        <rFont val="Arial Narrow"/>
        <family val="2"/>
      </rPr>
      <t xml:space="preserve">max. 0.1 kg TS/Tag/Tier </t>
    </r>
  </si>
  <si>
    <r>
      <t xml:space="preserve">       </t>
    </r>
    <r>
      <rPr>
        <b/>
        <sz val="9"/>
        <rFont val="Arial Narrow"/>
        <family val="2"/>
      </rPr>
      <t>mittlere Jahresmilch pro Kuh</t>
    </r>
    <r>
      <rPr>
        <sz val="9"/>
        <rFont val="Arial Narrow"/>
        <family val="2"/>
      </rPr>
      <t xml:space="preserve"> = (vermarktete Milch + Alpmilch + Haushalt + Verfütterung + übrige produzierte Milch) / Anzahl Milchkühe</t>
    </r>
  </si>
  <si>
    <r>
      <t xml:space="preserve">      </t>
    </r>
    <r>
      <rPr>
        <b/>
        <sz val="9"/>
        <rFont val="Arial Narrow"/>
        <family val="2"/>
      </rPr>
      <t xml:space="preserve"> Kraftfutter:</t>
    </r>
    <r>
      <rPr>
        <sz val="9"/>
        <rFont val="Arial Narrow"/>
        <family val="2"/>
      </rPr>
      <t xml:space="preserve"> die Menge Kraftfutter in </t>
    </r>
    <r>
      <rPr>
        <b/>
        <sz val="9"/>
        <rFont val="Arial Narrow"/>
        <family val="2"/>
      </rPr>
      <t>dt</t>
    </r>
    <r>
      <rPr>
        <sz val="9"/>
        <rFont val="Arial Narrow"/>
        <family val="2"/>
      </rPr>
      <t xml:space="preserve"> eintragen, die im Jahr an die Kühe auf dem Betrieb verfüttert wurden (betriebseigenes + fremdes)</t>
    </r>
  </si>
  <si>
    <t xml:space="preserve">                                                Werte ausserhalb des Gültigkeitsbereiches werden auf das jeweilige Minimum oder Maximum gesetzt</t>
  </si>
  <si>
    <t>Sorghum-Ganzpflanzen (frisch, siliert, getrocknet)</t>
  </si>
  <si>
    <r>
      <t xml:space="preserve">- alle Dünger- und Nährstoffzufuhren, die nicht zu A3 oder E gehören, sind hier zu erfassen  </t>
    </r>
    <r>
      <rPr>
        <sz val="8"/>
        <rFont val="Arial Narrow"/>
        <family val="2"/>
      </rPr>
      <t>(z.B. Kompost, Mineraldünger, Stroh zum Einstreuen, Gemüse-Rüstabfälle, etc. )</t>
    </r>
  </si>
  <si>
    <r>
      <t xml:space="preserve">Walnussbäume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185 Bäume/ha</t>
    </r>
  </si>
  <si>
    <t>M-TZW berechnet (g/Tag)</t>
  </si>
  <si>
    <t>Ausstall-LG berechnet (Tage)</t>
  </si>
  <si>
    <t>g M-TZW</t>
  </si>
  <si>
    <t>Gesamtsubstrat nach der Vergärung von Material landwirtschaftlicher Herkunft plus max. 20% Material nicht-landwirschaftlicher Herkunft (FS).</t>
  </si>
  <si>
    <t>Z. ausblenden</t>
  </si>
  <si>
    <r>
      <t xml:space="preserve">      - Es sind die </t>
    </r>
    <r>
      <rPr>
        <b/>
        <sz val="9"/>
        <rFont val="Arial"/>
        <family val="2"/>
      </rPr>
      <t>Saldi gemäss Auszug aus HODUFLU</t>
    </r>
    <r>
      <rPr>
        <sz val="9"/>
        <rFont val="Arial"/>
        <family val="2"/>
      </rPr>
      <t xml:space="preserve"> massgebend</t>
    </r>
  </si>
  <si>
    <r>
      <t xml:space="preserve">           Gärgut</t>
    </r>
    <r>
      <rPr>
        <sz val="9"/>
        <rFont val="Arial"/>
        <family val="2"/>
      </rPr>
      <t xml:space="preserve">             Gesamtsubstrat nach der Vergärung von Material mit </t>
    </r>
    <r>
      <rPr>
        <sz val="9"/>
        <color indexed="14"/>
        <rFont val="Arial"/>
        <family val="2"/>
      </rPr>
      <t>mehr als 20% nicht landw. Herkunft</t>
    </r>
    <r>
      <rPr>
        <sz val="9"/>
        <rFont val="Arial"/>
        <family val="2"/>
      </rPr>
      <t xml:space="preserve"> (FS); gilt als </t>
    </r>
    <r>
      <rPr>
        <sz val="9"/>
        <color indexed="14"/>
        <rFont val="Arial"/>
        <family val="2"/>
      </rPr>
      <t xml:space="preserve">vergärter Recyclingdünger </t>
    </r>
  </si>
  <si>
    <t xml:space="preserve">           Gärmist:          feste Phase nach der Separierung von Gärgülle; gilt als vergärter Hofdünger</t>
  </si>
  <si>
    <r>
      <t xml:space="preserve">           festes Gärgut</t>
    </r>
    <r>
      <rPr>
        <sz val="9"/>
        <rFont val="Arial"/>
        <family val="2"/>
      </rPr>
      <t xml:space="preserve">: feste Phase nach der Separierung von Gärgut; gilt als </t>
    </r>
    <r>
      <rPr>
        <sz val="9"/>
        <color indexed="14"/>
        <rFont val="Arial"/>
        <family val="2"/>
      </rPr>
      <t>vergärter Recyclingdünger,</t>
    </r>
    <r>
      <rPr>
        <sz val="9"/>
        <color rgb="FF993300"/>
        <rFont val="Arial Narrow"/>
        <family val="2"/>
      </rPr>
      <t xml:space="preserve"> Kompostierung von festem Gärgut ergibt Kompost -&gt; Erfassung unter "Übrige Dünger (D), Nverf = Nges gemäss HODUFLU * 0.10 </t>
    </r>
  </si>
  <si>
    <r>
      <t xml:space="preserve">           </t>
    </r>
    <r>
      <rPr>
        <sz val="9"/>
        <color rgb="FF6600FF"/>
        <rFont val="Arial"/>
        <family val="2"/>
      </rPr>
      <t>Ernterückstände von Gemüsekulturen</t>
    </r>
    <r>
      <rPr>
        <sz val="9"/>
        <color theme="1" tint="0.499984740745262"/>
        <rFont val="Arial"/>
        <family val="2"/>
      </rPr>
      <t>:  Gehalte = Mittelwerte in kg / t Ernterückstände frisch</t>
    </r>
  </si>
  <si>
    <r>
      <t xml:space="preserve">               N-Ausnutzung </t>
    </r>
    <r>
      <rPr>
        <b/>
        <sz val="9"/>
        <color indexed="60"/>
        <rFont val="Arial"/>
        <family val="2"/>
      </rPr>
      <t>feste</t>
    </r>
    <r>
      <rPr>
        <sz val="9"/>
        <rFont val="Arial"/>
        <family val="2"/>
      </rPr>
      <t xml:space="preserve"> Vergärungsprodukte: Nverf =  Nges * 0.20     [gemäss Wegleitung Suisse-Bilanz, Ziffer 3.9] </t>
    </r>
  </si>
  <si>
    <r>
      <rPr>
        <sz val="9"/>
        <rFont val="Arial"/>
        <family val="2"/>
      </rPr>
      <t xml:space="preserve">                N-Ausnutzung </t>
    </r>
    <r>
      <rPr>
        <sz val="9"/>
        <color indexed="53"/>
        <rFont val="Arial"/>
        <family val="2"/>
      </rPr>
      <t>flüssige vergärte Hofdünger</t>
    </r>
    <r>
      <rPr>
        <sz val="9"/>
        <rFont val="Arial"/>
        <family val="2"/>
      </rPr>
      <t xml:space="preserve">: Nverf =  Nges * ( Basis 65% - % offene Ackerfläche * 0.15 )    [gemäss Wegleitun Suisse-Bilanz, Ziffer 3.9] </t>
    </r>
  </si>
  <si>
    <r>
      <t xml:space="preserve">           Gärdünngülle: </t>
    </r>
    <r>
      <rPr>
        <sz val="9"/>
        <rFont val="Arial"/>
        <family val="2"/>
      </rPr>
      <t xml:space="preserve">flüssige Phase nach der Separierung von </t>
    </r>
    <r>
      <rPr>
        <sz val="9"/>
        <color indexed="53"/>
        <rFont val="Arial"/>
        <family val="2"/>
      </rPr>
      <t>Gärgülle</t>
    </r>
    <r>
      <rPr>
        <sz val="9"/>
        <rFont val="Arial"/>
        <family val="2"/>
      </rPr>
      <t xml:space="preserve">; gilt als </t>
    </r>
    <r>
      <rPr>
        <sz val="9"/>
        <color indexed="53"/>
        <rFont val="Arial"/>
        <family val="2"/>
      </rPr>
      <t>vergärter Hofdünger</t>
    </r>
  </si>
  <si>
    <r>
      <t xml:space="preserve">           Gärgülle:         </t>
    </r>
    <r>
      <rPr>
        <sz val="9"/>
        <rFont val="Arial"/>
        <family val="2"/>
      </rPr>
      <t xml:space="preserve">Gesamtsubstrat nach der Vergärung von </t>
    </r>
    <r>
      <rPr>
        <sz val="9"/>
        <color rgb="FFFF6600"/>
        <rFont val="Arial"/>
        <family val="2"/>
      </rPr>
      <t xml:space="preserve">Material landwirtschaftlicher Herkunft plus max. 20% </t>
    </r>
    <r>
      <rPr>
        <sz val="9"/>
        <color indexed="53"/>
        <rFont val="Arial"/>
        <family val="2"/>
      </rPr>
      <t>Material nicht landw. Herkunft</t>
    </r>
    <r>
      <rPr>
        <sz val="9"/>
        <rFont val="Arial"/>
        <family val="2"/>
      </rPr>
      <t xml:space="preserve"> (FS); gilt als</t>
    </r>
    <r>
      <rPr>
        <sz val="9"/>
        <color indexed="53"/>
        <rFont val="Arial"/>
        <family val="2"/>
      </rPr>
      <t xml:space="preserve"> vergärter Hofdünger</t>
    </r>
  </si>
  <si>
    <t>Zeile ausblenden</t>
  </si>
  <si>
    <t>Mutterkuhkalb &gt;160 d, schwer (&gt;250 kg SG) (Pl.)</t>
  </si>
  <si>
    <r>
      <t xml:space="preserve"> ** N</t>
    </r>
    <r>
      <rPr>
        <vertAlign val="subscript"/>
        <sz val="10"/>
        <rFont val="Arial Narrow"/>
        <family val="2"/>
      </rPr>
      <t>verf</t>
    </r>
    <r>
      <rPr>
        <sz val="10"/>
        <rFont val="Arial Narrow"/>
        <family val="2"/>
      </rPr>
      <t xml:space="preserve"> = N</t>
    </r>
    <r>
      <rPr>
        <vertAlign val="subscript"/>
        <sz val="10"/>
        <rFont val="Arial Narrow"/>
        <family val="2"/>
      </rPr>
      <t>ges</t>
    </r>
    <r>
      <rPr>
        <sz val="10"/>
        <rFont val="Arial Narrow"/>
        <family val="2"/>
      </rPr>
      <t xml:space="preserve"> HODUFLU-Lieferschein * spez. Ausnutzung (50-65%)</t>
    </r>
  </si>
  <si>
    <t xml:space="preserve"> GF-Verzehr max. 0.34 dt TS / MSP / Jahr</t>
  </si>
  <si>
    <r>
      <t xml:space="preserve">- </t>
    </r>
    <r>
      <rPr>
        <b/>
        <sz val="9"/>
        <rFont val="Arial"/>
        <family val="2"/>
      </rPr>
      <t>Rindviehmast &gt; 160 d</t>
    </r>
    <r>
      <rPr>
        <sz val="9"/>
        <rFont val="Arial"/>
        <family val="2"/>
      </rPr>
      <t xml:space="preserve">: wird linear korrigiert nach </t>
    </r>
    <r>
      <rPr>
        <b/>
        <sz val="9"/>
        <rFont val="Arial"/>
        <family val="2"/>
      </rPr>
      <t>Tageszuwachs</t>
    </r>
    <r>
      <rPr>
        <sz val="9"/>
        <rFont val="Arial"/>
        <family val="2"/>
      </rPr>
      <t xml:space="preserve"> und </t>
    </r>
    <r>
      <rPr>
        <b/>
        <sz val="9"/>
        <rFont val="Arial"/>
        <family val="2"/>
      </rPr>
      <t>Ausstall-Lebendgewicht</t>
    </r>
  </si>
  <si>
    <t xml:space="preserve">ha </t>
  </si>
  <si>
    <r>
      <t xml:space="preserve">   -&gt;  Flächen und Kulturen gemäss </t>
    </r>
    <r>
      <rPr>
        <b/>
        <u/>
        <sz val="10"/>
        <color indexed="10"/>
        <rFont val="Arial"/>
        <family val="2"/>
      </rPr>
      <t>Betriebsdatenerhebung</t>
    </r>
    <r>
      <rPr>
        <b/>
        <sz val="10"/>
        <color indexed="10"/>
        <rFont val="Arial"/>
        <family val="2"/>
      </rPr>
      <t xml:space="preserve"> sind massgebend  </t>
    </r>
  </si>
  <si>
    <r>
      <t xml:space="preserve">ha  </t>
    </r>
    <r>
      <rPr>
        <b/>
        <sz val="8"/>
        <rFont val="Arial"/>
        <family val="2"/>
      </rPr>
      <t xml:space="preserve"> -&gt;</t>
    </r>
  </si>
  <si>
    <t>Gesamtfläche (ha):</t>
  </si>
  <si>
    <t>Agridea DB Ackerbau 2020; GRUD 2017, Modul 4/ Eigenschaften und Anwendung von Düngern, Tab. 6</t>
  </si>
  <si>
    <t>Vergleich der Gesamtfläche</t>
  </si>
  <si>
    <t xml:space="preserve">      &gt; in Suisse-Bilanz </t>
  </si>
  <si>
    <r>
      <t xml:space="preserve">           flüssiges Gärgut</t>
    </r>
    <r>
      <rPr>
        <sz val="9"/>
        <rFont val="Arial"/>
        <family val="2"/>
      </rPr>
      <t xml:space="preserve">: flüssige Phase nach der Separierung von Gärgut; gilt als </t>
    </r>
    <r>
      <rPr>
        <sz val="9"/>
        <color indexed="14"/>
        <rFont val="Arial"/>
        <family val="2"/>
      </rPr>
      <t xml:space="preserve">vergärter Recyclingdünger;   </t>
    </r>
    <r>
      <rPr>
        <sz val="9"/>
        <rFont val="Arial"/>
        <family val="2"/>
      </rPr>
      <t>N-Ausnutzung</t>
    </r>
    <r>
      <rPr>
        <b/>
        <sz val="9"/>
        <color rgb="FF0000FF"/>
        <rFont val="Arial"/>
        <family val="2"/>
      </rPr>
      <t xml:space="preserve"> flüssige</t>
    </r>
    <r>
      <rPr>
        <sz val="9"/>
        <color rgb="FFFF00FF"/>
        <rFont val="Arial"/>
        <family val="2"/>
      </rPr>
      <t xml:space="preserve"> Recyclingdünger</t>
    </r>
    <r>
      <rPr>
        <sz val="9"/>
        <rFont val="Arial"/>
        <family val="2"/>
      </rPr>
      <t xml:space="preserve">: Nverf =  Nlös + Norg x 0.25    [gemäss Wegleitung Suisse-Bilanz, Ziffer 3.9]  </t>
    </r>
  </si>
  <si>
    <t>Zeile nicht benutzen (Hofd &lt;-&gt; Rec.)</t>
  </si>
  <si>
    <t>Milchviehbetriebe: Tränker für Verkauf als Jungvieh &lt;160 d erfassen</t>
  </si>
  <si>
    <t>Bisons bis 900 d</t>
  </si>
  <si>
    <t>Lamas bis 2-jährig</t>
  </si>
  <si>
    <t>Alpakas bis 2-jährig</t>
  </si>
  <si>
    <r>
      <t>Nützlingsstreifen/ Saum auf Ackerfläche/...</t>
    </r>
    <r>
      <rPr>
        <i/>
        <sz val="8"/>
        <rFont val="Arial"/>
        <family val="2"/>
      </rPr>
      <t xml:space="preserve">  (keine Düngung, kein Grundfutter)</t>
    </r>
  </si>
  <si>
    <t>Gruppeneinteilung nach Agroscope Transfer, Nr. 362, Dezember 2020</t>
  </si>
  <si>
    <t>Walnussbäume (&lt;185 Bä/ha)</t>
  </si>
  <si>
    <t>Hochstamm-Obstbäume, Nussbäume, Edelkastanien</t>
  </si>
  <si>
    <t xml:space="preserve"> schleppschlauchoblig. Fläche (SSOF)</t>
  </si>
  <si>
    <t xml:space="preserve"> ha</t>
  </si>
  <si>
    <t>emissionsmindernde Ausbringverfahren</t>
  </si>
  <si>
    <t xml:space="preserve">  ab 2024 anzurechnen</t>
  </si>
  <si>
    <t>Pferde (181-900 d, &gt;148 cm od. div. Rassen)</t>
  </si>
  <si>
    <t xml:space="preserve"> - Tränker: Milchviehbetriebe erfassen Tränker für den Verkauf als Jungvieh &lt;160 d </t>
  </si>
  <si>
    <r>
      <t xml:space="preserve">  Hinweis: Bei </t>
    </r>
    <r>
      <rPr>
        <b/>
        <i/>
        <sz val="10"/>
        <color indexed="12"/>
        <rFont val="Arial Narrow"/>
        <family val="2"/>
      </rPr>
      <t>Mastpoulethaltung</t>
    </r>
    <r>
      <rPr>
        <i/>
        <sz val="10"/>
        <color indexed="12"/>
        <rFont val="Arial Narrow"/>
        <family val="2"/>
      </rPr>
      <t xml:space="preserve"> und bei Bruderhähnen ist das Modul Mastpoulet des BLW (Impex) zu verwenden  -&gt;</t>
    </r>
  </si>
  <si>
    <r>
      <t xml:space="preserve">      -  </t>
    </r>
    <r>
      <rPr>
        <b/>
        <sz val="10"/>
        <color indexed="16"/>
        <rFont val="Arial"/>
        <family val="2"/>
      </rPr>
      <t>100</t>
    </r>
    <r>
      <rPr>
        <sz val="10"/>
        <rFont val="Arial"/>
        <family val="2"/>
      </rPr>
      <t xml:space="preserve"> ein, wenn die Tiere im Stall </t>
    </r>
    <r>
      <rPr>
        <b/>
        <u/>
        <sz val="10"/>
        <color indexed="16"/>
        <rFont val="Arial"/>
        <family val="2"/>
      </rPr>
      <t>nur Vollmist (Harn ist im Mist)</t>
    </r>
    <r>
      <rPr>
        <sz val="10"/>
        <rFont val="Arial"/>
        <family val="2"/>
      </rPr>
      <t xml:space="preserve"> (&lt;10% Gülle), das heisst praktisch </t>
    </r>
    <r>
      <rPr>
        <u/>
        <sz val="10"/>
        <rFont val="Arial"/>
        <family val="2"/>
      </rPr>
      <t>keine</t>
    </r>
    <r>
      <rPr>
        <sz val="10"/>
        <rFont val="Arial"/>
        <family val="2"/>
      </rPr>
      <t xml:space="preserve"> Gülle produzieren</t>
    </r>
  </si>
  <si>
    <r>
      <t xml:space="preserve">- Bei Kartoffeln entweder </t>
    </r>
    <r>
      <rPr>
        <u/>
        <sz val="10"/>
        <rFont val="Arial"/>
        <family val="2"/>
      </rPr>
      <t>alle</t>
    </r>
    <r>
      <rPr>
        <sz val="10"/>
        <rFont val="Arial"/>
        <family val="2"/>
      </rPr>
      <t xml:space="preserve"> als "Standard-Kart." erfassen oder </t>
    </r>
    <r>
      <rPr>
        <u/>
        <sz val="10"/>
        <rFont val="Arial"/>
        <family val="2"/>
      </rPr>
      <t>alle</t>
    </r>
    <r>
      <rPr>
        <sz val="10"/>
        <rFont val="Arial"/>
        <family val="2"/>
      </rPr>
      <t xml:space="preserve"> nach den sortenspezifischen N-Bedarfsgruppen (a, b od. c) gemässe Sortenliste Kartoffeln (Wegleitung Tab.4).</t>
    </r>
  </si>
  <si>
    <r>
      <t xml:space="preserve">- Sämtliche </t>
    </r>
    <r>
      <rPr>
        <b/>
        <sz val="10"/>
        <color indexed="12"/>
        <rFont val="Arial"/>
        <family val="2"/>
      </rPr>
      <t xml:space="preserve">Zu- und Wegfuhren von Nährstoffen </t>
    </r>
    <r>
      <rPr>
        <sz val="10"/>
        <rFont val="Arial"/>
        <family val="2"/>
      </rPr>
      <t xml:space="preserve">in den </t>
    </r>
    <r>
      <rPr>
        <b/>
        <sz val="10"/>
        <color rgb="FF0000FF"/>
        <rFont val="Arial"/>
        <family val="2"/>
      </rPr>
      <t>3 Abschnitten</t>
    </r>
    <r>
      <rPr>
        <sz val="10"/>
        <rFont val="Arial"/>
        <family val="2"/>
      </rPr>
      <t xml:space="preserve"> eintragen:  </t>
    </r>
  </si>
  <si>
    <r>
      <t xml:space="preserve">-  </t>
    </r>
    <r>
      <rPr>
        <b/>
        <sz val="10"/>
        <rFont val="Arial"/>
        <family val="2"/>
      </rPr>
      <t>Zwischenbilanz "Eigenversorgung":</t>
    </r>
    <r>
      <rPr>
        <sz val="10"/>
        <rFont val="Arial"/>
        <family val="2"/>
      </rPr>
      <t xml:space="preserve"> Differenz zwischen Nährstoffanfall und Nährstoffbedarf des Betriebes.</t>
    </r>
  </si>
  <si>
    <t xml:space="preserve">   Rübenblätter und Rübennass- und Rübenpressschnitzel; frisches Obst; unverarbeitete Kartoffeln, einschliesslich Sortierabgang; Abgänge und nicht getrocknete oder konzentrierte Nebenprodukte aus der Kartoffel-, Obst- und Gemüseverarbeitung; für die Rindviehmast: Mischungen aus Spindel und Körnern des Maiskolbens/Maiskolbenschrot/Maiskolbensilage (Corn-Cob-Mix, CCM) (vgl. auch unten); </t>
  </si>
  <si>
    <r>
      <t xml:space="preserve">1.1  Als </t>
    </r>
    <r>
      <rPr>
        <b/>
        <sz val="9"/>
        <color indexed="12"/>
        <rFont val="Arial"/>
        <family val="2"/>
      </rPr>
      <t>Grundfutter</t>
    </r>
    <r>
      <rPr>
        <sz val="9"/>
        <color indexed="12"/>
        <rFont val="Arial"/>
        <family val="2"/>
      </rPr>
      <t xml:space="preserve"> für GMF zählen:</t>
    </r>
  </si>
  <si>
    <r>
      <rPr>
        <sz val="9"/>
        <color indexed="12"/>
        <rFont val="Arial Narrow"/>
        <family val="2"/>
      </rPr>
      <t xml:space="preserve">  1.1.1  </t>
    </r>
    <r>
      <rPr>
        <sz val="9"/>
        <color indexed="12"/>
        <rFont val="Arial"/>
        <family val="2"/>
      </rPr>
      <t>Grundfutter nach Artikel 28 LBV</t>
    </r>
  </si>
  <si>
    <r>
      <rPr>
        <sz val="9"/>
        <color indexed="12"/>
        <rFont val="Arial Narrow"/>
        <family val="2"/>
      </rPr>
      <t xml:space="preserve">  1.1.3</t>
    </r>
    <r>
      <rPr>
        <sz val="9"/>
        <color indexed="12"/>
        <rFont val="Arial"/>
        <family val="2"/>
      </rPr>
      <t xml:space="preserve">  Nebenprodukte aus der Verarbeitung von Lebensmitteln</t>
    </r>
  </si>
  <si>
    <t xml:space="preserve">               b.  Zuckerrübenschnitzel getrocknet </t>
  </si>
  <si>
    <t xml:space="preserve">               a.  Biertreber frisch, siliert oder getrocknet</t>
  </si>
  <si>
    <t xml:space="preserve">              a. Futter von Grünflächen und Streueflächen: frisch, siliert oder getrocknet</t>
  </si>
  <si>
    <t xml:space="preserve">                   sowie Stroh </t>
  </si>
  <si>
    <t xml:space="preserve">              c. Chicorée-Wurzeln </t>
  </si>
  <si>
    <t xml:space="preserve">              d. Rübenblätter und frische Rübennass- und Rübenpressschnitzel</t>
  </si>
  <si>
    <t xml:space="preserve">              e. frisches Obst </t>
  </si>
  <si>
    <t xml:space="preserve">               f.  unverarbeitete Kartoffeln, einschliesslich Sortierabgang </t>
  </si>
  <si>
    <t>1.6 Die Produkte nach Ziffer 1.1.3 sind insgesamt bis zu maximal 5 Prozent der Gesamtration</t>
  </si>
  <si>
    <t xml:space="preserve">                        oder -mast wird nicht in die Berechnung einbezogen (Weisung DZV 2023, 14. Nov. 2022).</t>
  </si>
  <si>
    <r>
      <rPr>
        <sz val="9"/>
        <color indexed="60"/>
        <rFont val="Arial Narrow"/>
        <family val="2"/>
      </rPr>
      <t xml:space="preserve">  1.1.2</t>
    </r>
    <r>
      <rPr>
        <sz val="9"/>
        <color indexed="60"/>
        <rFont val="Arial"/>
        <family val="2"/>
      </rPr>
      <t xml:space="preserve">  für die Rindviehmast: Mischungen aus Spindel und Körnern des Maiskolbens /</t>
    </r>
  </si>
  <si>
    <t xml:space="preserve">              b. als Futtermittel angebaute Ackerkulturen, bei denen die ganze Pflanze </t>
  </si>
  <si>
    <t xml:space="preserve">                   geerntet wird: frisch siliert oder getrocknet, ohne Maiskolbenschrot</t>
  </si>
  <si>
    <t xml:space="preserve">               g. Abgänge und nicht getrocknete oder konzentrierte Nebenprodukte aus der</t>
  </si>
  <si>
    <t xml:space="preserve">                      Kartoffel-, Obst- und Gemüseverarbeitung </t>
  </si>
  <si>
    <t xml:space="preserve">                                                  Maiskolbenschrot / Maiskolbensilage (Corn-Cob-Mix)</t>
  </si>
  <si>
    <t xml:space="preserve">    zu Ziff. 1.6: Der Anteil der Nebenprodukte nach Ziffer 1.1.3 und der Ergänzungsfutter nach Ziffer 1.3 darf insgesamt</t>
  </si>
  <si>
    <t xml:space="preserve">        betriebseigenes Wiesen- und Weidefutter nach Ziffer 1.2 verfüttern.</t>
  </si>
  <si>
    <r>
      <t xml:space="preserve">zum </t>
    </r>
    <r>
      <rPr>
        <b/>
        <sz val="10"/>
        <color rgb="FF009900"/>
        <rFont val="Arial"/>
        <family val="2"/>
      </rPr>
      <t>Grundfutter</t>
    </r>
    <r>
      <rPr>
        <sz val="10"/>
        <color rgb="FF009900"/>
        <rFont val="Arial"/>
        <family val="2"/>
      </rPr>
      <t xml:space="preserve"> zählen:</t>
    </r>
    <r>
      <rPr>
        <sz val="9"/>
        <color rgb="FF009900"/>
        <rFont val="Arial"/>
        <family val="2"/>
      </rPr>
      <t xml:space="preserve">     </t>
    </r>
    <r>
      <rPr>
        <b/>
        <i/>
        <sz val="9"/>
        <color rgb="FF009900"/>
        <rFont val="Arial"/>
        <family val="2"/>
      </rPr>
      <t xml:space="preserve"> -&gt; siehe Wegleitung Suisse-Bilanz 3.2, Grundfutter   (bzw. DZV, Anhang 5, Ziffer 1.1 DZV)</t>
    </r>
  </si>
  <si>
    <r>
      <t xml:space="preserve">   </t>
    </r>
    <r>
      <rPr>
        <b/>
        <sz val="9"/>
        <color rgb="FF009900"/>
        <rFont val="Arial Narrow"/>
        <family val="2"/>
      </rPr>
      <t>Futter von Grünflächen und Streueflächen</t>
    </r>
    <r>
      <rPr>
        <sz val="9"/>
        <color rgb="FF009900"/>
        <rFont val="Arial Narrow"/>
        <family val="2"/>
      </rPr>
      <t xml:space="preserve"> (frisch, siliert, getrocknet), sowie (verfüttertes) Stroh; </t>
    </r>
    <r>
      <rPr>
        <b/>
        <sz val="9"/>
        <color rgb="FF009900"/>
        <rFont val="Arial Narrow"/>
        <family val="2"/>
      </rPr>
      <t>als Futtermittel angebaute Ackerkulturen</t>
    </r>
    <r>
      <rPr>
        <sz val="9"/>
        <color rgb="FF009900"/>
        <rFont val="Arial Narrow"/>
        <family val="2"/>
      </rPr>
      <t xml:space="preserve">, bei denen die ganze Pflanze geerntet wird: frisch, siliert oder getrocknet, </t>
    </r>
    <r>
      <rPr>
        <b/>
        <sz val="9"/>
        <color rgb="FF009900"/>
        <rFont val="Arial Narrow"/>
        <family val="2"/>
      </rPr>
      <t>ohne Maiskolbenschrot</t>
    </r>
    <r>
      <rPr>
        <sz val="9"/>
        <color rgb="FF009900"/>
        <rFont val="Arial Narrow"/>
        <family val="2"/>
      </rPr>
      <t xml:space="preserve">;  Chicorée-Wurzeln; </t>
    </r>
  </si>
  <si>
    <r>
      <t xml:space="preserve">   </t>
    </r>
    <r>
      <rPr>
        <b/>
        <sz val="9"/>
        <color rgb="FF009900"/>
        <rFont val="Arial Narrow"/>
        <family val="2"/>
      </rPr>
      <t>Nebenprodukte aus der Verarbeitung von Lebensmitteln:</t>
    </r>
    <r>
      <rPr>
        <sz val="9"/>
        <color rgb="FF009900"/>
        <rFont val="Arial Narrow"/>
        <family val="2"/>
      </rPr>
      <t xml:space="preserve"> ZR-Schnitzel getrocknet, Biertreber frisch, siliert, getrocknet, Nebenprodukte der Trocken- und Schälmüllerei: Weizenkleie, Haferabfallmehl, Dinkel- und Haferspelzen, Dinkelspreu und Kornspreuer sowie Gemische davon</t>
    </r>
  </si>
  <si>
    <t xml:space="preserve">       emissionsmindernd begüllt oder erfolgen weniger als 2 Gaben pro Jahr, kann eine angepasste effektive Fläche deklariert werden. Die Herleitung dieser Fläche muss plausibel dargelegt werden. </t>
  </si>
  <si>
    <r>
      <t>- schleppschlauchobligatorische Fläche (SSOF)</t>
    </r>
    <r>
      <rPr>
        <b/>
        <sz val="9"/>
        <color indexed="58"/>
        <rFont val="Arial"/>
        <family val="2"/>
      </rPr>
      <t>:</t>
    </r>
    <r>
      <rPr>
        <b/>
        <sz val="9"/>
        <rFont val="Arial"/>
        <family val="2"/>
      </rPr>
      <t xml:space="preserve">  Grundsätzlich ist die gesamte SSOF anzurechnen </t>
    </r>
    <r>
      <rPr>
        <sz val="8"/>
        <rFont val="Arial Narrow"/>
        <family val="2"/>
      </rPr>
      <t>(2 Gaben à 3 kg N</t>
    </r>
    <r>
      <rPr>
        <vertAlign val="subscript"/>
        <sz val="8"/>
        <rFont val="Arial Narrow"/>
        <family val="2"/>
      </rPr>
      <t>verf</t>
    </r>
    <r>
      <rPr>
        <sz val="8"/>
        <rFont val="Arial Narrow"/>
        <family val="2"/>
      </rPr>
      <t xml:space="preserve"> = 6 kg N</t>
    </r>
    <r>
      <rPr>
        <vertAlign val="subscript"/>
        <sz val="8"/>
        <rFont val="Arial Narrow"/>
        <family val="2"/>
      </rPr>
      <t>verf</t>
    </r>
    <r>
      <rPr>
        <sz val="8"/>
        <rFont val="Arial Narrow"/>
        <family val="2"/>
      </rPr>
      <t>/ha)</t>
    </r>
    <r>
      <rPr>
        <b/>
        <sz val="9"/>
        <rFont val="Arial"/>
        <family val="2"/>
      </rPr>
      <t xml:space="preserve">. Wird aufgrund von fehlendem bzw. geringerem Hofdüngereinsatz nicht die gesamte SSOF  </t>
    </r>
  </si>
  <si>
    <t>Auskunft: Daniel Fröhlich 058 345 85 24</t>
  </si>
  <si>
    <t>Mutterkuhkalb &gt;160 d, leicht (bis 200 kg SG) (Pl.)</t>
  </si>
  <si>
    <t>neu 1.19</t>
  </si>
  <si>
    <t>andere Ziegen über 365 Tage alt (Pl.)</t>
  </si>
  <si>
    <t>HDF?</t>
  </si>
  <si>
    <t>Jungziegen über 180 bis 365 Tage alt (Pl.)</t>
  </si>
  <si>
    <t>Zicklein bis 180 Tage alt aus Mutterziegenherde (Pl.)</t>
  </si>
  <si>
    <t>Zicklein bis 180 Tage alt aus Milchziegenherde (Pl.)</t>
  </si>
  <si>
    <t>andere Schafe über 365 Tage alt (Pl.)</t>
  </si>
  <si>
    <t>Jungschafe über 180 bis 365 Tage alt (Pl.)</t>
  </si>
  <si>
    <t>qui</t>
  </si>
  <si>
    <t>Quinoa</t>
  </si>
  <si>
    <t>Baumschulen für Erwerbsobstbau (hohe Pflanzdichte)</t>
  </si>
  <si>
    <t>Maulbeerbaumanlagen (Fütterung Seidenraupen)</t>
  </si>
  <si>
    <t>Milchziegen</t>
  </si>
  <si>
    <t>Milchziegen, 550 kg Jahresmilchleistung</t>
  </si>
  <si>
    <t>Milchschafe</t>
  </si>
  <si>
    <t>Lämmer bis 180 Tage alt (Pl.)</t>
  </si>
  <si>
    <t>Milchschafe, 500 kg Jahresmilchleistung</t>
  </si>
  <si>
    <t>JSch</t>
  </si>
  <si>
    <t>Lae</t>
  </si>
  <si>
    <t>mis_500</t>
  </si>
  <si>
    <t>miz_550</t>
  </si>
  <si>
    <t>Jzie</t>
  </si>
  <si>
    <t>Zimi</t>
  </si>
  <si>
    <t>ZiMu</t>
  </si>
  <si>
    <t>bsc2</t>
  </si>
  <si>
    <t>Mau</t>
  </si>
  <si>
    <t>iemk</t>
  </si>
  <si>
    <t>IE Mastkälber</t>
  </si>
  <si>
    <t>kg Milch:</t>
  </si>
  <si>
    <t xml:space="preserve">  Original</t>
  </si>
  <si>
    <t>Jungvieh bis 160 Tg. alt (Pl.)</t>
  </si>
  <si>
    <t>Rindviehmast bis 160 d (Pl.)</t>
  </si>
  <si>
    <t>LBV: &gt; 900 d</t>
  </si>
  <si>
    <t>ca. 3 Umtriebe</t>
  </si>
  <si>
    <t>Pl. / 365 x 124</t>
  </si>
  <si>
    <t>Pl. / 365 x 37</t>
  </si>
  <si>
    <t>JH-Pl. / 2.25 Umtr.</t>
  </si>
  <si>
    <t>Mastpoulets (Mastdauer ca 40 Tage; 6.5 bis 7.5 Umtriebe pro Platz)</t>
  </si>
  <si>
    <t>Samen-Produktion, Gräser, Reinsaat</t>
  </si>
  <si>
    <r>
      <t xml:space="preserve">- Datei Speichern    - als Arbeitsmappe mit Makros: </t>
    </r>
    <r>
      <rPr>
        <b/>
        <sz val="10"/>
        <color rgb="FF0000FF"/>
        <rFont val="Arial"/>
        <family val="2"/>
      </rPr>
      <t>Dokument-Name</t>
    </r>
    <r>
      <rPr>
        <b/>
        <sz val="10"/>
        <color rgb="FFFF0000"/>
        <rFont val="Arial"/>
        <family val="2"/>
      </rPr>
      <t xml:space="preserve">.xlsm  </t>
    </r>
  </si>
  <si>
    <r>
      <t xml:space="preserve">- Zur Auswahl von Tierkategorien und Kulturen </t>
    </r>
    <r>
      <rPr>
        <sz val="10"/>
        <rFont val="Arial"/>
        <family val="2"/>
      </rPr>
      <t>(ausser Milchkühe, Milchziegen, Milchschafe, Rindviehmast &gt;160 d und Grundfutterkulturen)</t>
    </r>
  </si>
  <si>
    <t>Massgebender Tierbestand (siehe Wegleitung 2.7)</t>
  </si>
  <si>
    <t>https://agridea.abacuscity.ch/de/A~1494~1/2~230950~Shop/Software/Downloads/SuiBiTrans/Franz%C3%B6sisch</t>
  </si>
  <si>
    <t xml:space="preserve">               -&gt; BLW: Instrumente &gt; Direktzahlungen &gt; ökologischer Leistungsnachweis &gt; ausgeglichene Düngerbilanz &gt; …     ODER   -&gt; agridea  </t>
  </si>
  <si>
    <t>https://www.blw.admin.ch/de/oekologischer-leistungsnachweis#Ausgeglichene-D%C3%Bcngerbilanz</t>
  </si>
  <si>
    <r>
      <t xml:space="preserve">  </t>
    </r>
    <r>
      <rPr>
        <b/>
        <sz val="10"/>
        <color rgb="FFFF0000"/>
        <rFont val="Arial Narrow"/>
        <family val="2"/>
      </rPr>
      <t>Achtung:</t>
    </r>
    <r>
      <rPr>
        <b/>
        <sz val="12"/>
        <color rgb="FFFF0000"/>
        <rFont val="Arial Narrow"/>
        <family val="2"/>
      </rPr>
      <t xml:space="preserve"> </t>
    </r>
    <r>
      <rPr>
        <b/>
        <sz val="9"/>
        <color rgb="FF0000FF"/>
        <rFont val="Arial Narrow"/>
        <family val="2"/>
      </rPr>
      <t xml:space="preserve"> immer </t>
    </r>
    <r>
      <rPr>
        <b/>
        <u/>
        <sz val="9"/>
        <color rgb="FFFF0000"/>
        <rFont val="Arial Narrow"/>
        <family val="2"/>
      </rPr>
      <t>mit</t>
    </r>
    <r>
      <rPr>
        <b/>
        <sz val="9"/>
        <color rgb="FFFF0000"/>
        <rFont val="Arial Narrow"/>
        <family val="2"/>
      </rPr>
      <t xml:space="preserve"> Makros speichern</t>
    </r>
    <r>
      <rPr>
        <b/>
        <sz val="9"/>
        <color rgb="FF0000FF"/>
        <rFont val="Arial Narrow"/>
        <family val="2"/>
      </rPr>
      <t xml:space="preserve"> -&gt; Dateityp </t>
    </r>
    <r>
      <rPr>
        <b/>
        <sz val="9"/>
        <color rgb="FFFF0000"/>
        <rFont val="Arial Narrow"/>
        <family val="2"/>
      </rPr>
      <t>"mit Makros"</t>
    </r>
    <r>
      <rPr>
        <b/>
        <sz val="9"/>
        <color rgb="FF0000FF"/>
        <rFont val="Arial Narrow"/>
        <family val="2"/>
      </rPr>
      <t xml:space="preserve"> wählen  </t>
    </r>
    <r>
      <rPr>
        <sz val="8"/>
        <color rgb="FF0000FF"/>
        <rFont val="Arial Narrow"/>
        <family val="2"/>
      </rPr>
      <t xml:space="preserve"> -&gt; Excel: Datei / Speichern unter / </t>
    </r>
    <r>
      <rPr>
        <b/>
        <sz val="8"/>
        <color rgb="FF0000FF"/>
        <rFont val="Arial Narrow"/>
        <family val="2"/>
      </rPr>
      <t xml:space="preserve">Excel-Arbeitsmappe </t>
    </r>
    <r>
      <rPr>
        <b/>
        <sz val="8"/>
        <color rgb="FFFF0000"/>
        <rFont val="Arial Narrow"/>
        <family val="2"/>
      </rPr>
      <t>mit Makros (*.xlsm)</t>
    </r>
  </si>
  <si>
    <r>
      <t xml:space="preserve"> Datentabelle für Nährstoffhaushalt-Berechnung mit EXCEL-Prg. SB 1.20 </t>
    </r>
    <r>
      <rPr>
        <sz val="9"/>
        <rFont val="Arial Narrow"/>
        <family val="2"/>
      </rPr>
      <t>(nach Wegleitung Suisse-Bilanz, BLW / agridea)</t>
    </r>
  </si>
  <si>
    <r>
      <t xml:space="preserve">          Gültigkeit der Version 1.20:  Jahre 2026 - 2027 </t>
    </r>
    <r>
      <rPr>
        <sz val="7"/>
        <rFont val="Arial Narrow"/>
        <family val="2"/>
      </rPr>
      <t>(= Info Dez. 2025)</t>
    </r>
    <r>
      <rPr>
        <b/>
        <sz val="8"/>
        <rFont val="Arial Narrow"/>
        <family val="2"/>
      </rPr>
      <t xml:space="preserve">  -&gt; siehe BLW:</t>
    </r>
  </si>
  <si>
    <t>Die Berechnungen basieren auf der "Suisse-Bilanz" von agridea und EVD/BLW (Version 1.20, 2025).</t>
  </si>
  <si>
    <r>
      <t xml:space="preserve">Massgebend sind die gehaltenen Tiere im </t>
    </r>
    <r>
      <rPr>
        <sz val="9"/>
        <color rgb="FFFF0000"/>
        <rFont val="Arial"/>
        <family val="2"/>
      </rPr>
      <t>Kalenderjahr</t>
    </r>
    <r>
      <rPr>
        <sz val="9"/>
        <rFont val="Arial"/>
        <family val="2"/>
      </rPr>
      <t xml:space="preserve"> (Rindvieh, Ziegen, Schafe, Pferde, Büffel und Bisons </t>
    </r>
    <r>
      <rPr>
        <sz val="9"/>
        <color rgb="FFFF0000"/>
        <rFont val="Arial"/>
        <family val="2"/>
      </rPr>
      <t>gemäss TVD</t>
    </r>
    <r>
      <rPr>
        <sz val="9"/>
        <rFont val="Arial"/>
        <family val="2"/>
      </rPr>
      <t>,</t>
    </r>
  </si>
  <si>
    <r>
      <t xml:space="preserve">   Umrechnungshilfe </t>
    </r>
    <r>
      <rPr>
        <b/>
        <sz val="9"/>
        <rFont val="Arial"/>
        <family val="2"/>
      </rPr>
      <t>SuiBiTrans</t>
    </r>
    <r>
      <rPr>
        <sz val="9"/>
        <rFont val="Arial"/>
        <family val="2"/>
      </rPr>
      <t xml:space="preserve"> in Wegleitung Kapitel 3.1; bei den anderen Tierkategorien die </t>
    </r>
    <r>
      <rPr>
        <sz val="9"/>
        <color rgb="FFFF0000"/>
        <rFont val="Arial"/>
        <family val="2"/>
      </rPr>
      <t>Durchschnittsbestände)</t>
    </r>
  </si>
  <si>
    <r>
      <t>Körnermais (86% TS),</t>
    </r>
    <r>
      <rPr>
        <sz val="10"/>
        <color rgb="FF0000FF"/>
        <rFont val="Arial"/>
        <family val="2"/>
      </rPr>
      <t xml:space="preserve"> </t>
    </r>
    <r>
      <rPr>
        <sz val="10"/>
        <color rgb="FF800000"/>
        <rFont val="Arial"/>
        <family val="2"/>
      </rPr>
      <t>Nitratprojekt</t>
    </r>
  </si>
  <si>
    <r>
      <t>km</t>
    </r>
    <r>
      <rPr>
        <sz val="8"/>
        <color rgb="FF800000"/>
        <rFont val="Arial"/>
        <family val="2"/>
      </rPr>
      <t>np</t>
    </r>
  </si>
  <si>
    <r>
      <t>ccm</t>
    </r>
    <r>
      <rPr>
        <sz val="8"/>
        <color rgb="FF800000"/>
        <rFont val="Arial"/>
        <family val="2"/>
      </rPr>
      <t>np</t>
    </r>
  </si>
  <si>
    <r>
      <t xml:space="preserve">Wintergerste, </t>
    </r>
    <r>
      <rPr>
        <sz val="10"/>
        <color rgb="FF800000"/>
        <rFont val="Arial"/>
        <family val="2"/>
      </rPr>
      <t>Nitrat-Projekt</t>
    </r>
  </si>
  <si>
    <r>
      <t>Winterroggen (Populationssorten),</t>
    </r>
    <r>
      <rPr>
        <sz val="10"/>
        <color rgb="FF800000"/>
        <rFont val="Arial"/>
        <family val="2"/>
      </rPr>
      <t xml:space="preserve"> Nitrat-Projekt</t>
    </r>
  </si>
  <si>
    <r>
      <t>Winterroggen (Hybridsorten),</t>
    </r>
    <r>
      <rPr>
        <sz val="10"/>
        <color rgb="FF800000"/>
        <rFont val="Arial"/>
        <family val="2"/>
      </rPr>
      <t xml:space="preserve"> Nitrat-Projekt</t>
    </r>
  </si>
  <si>
    <r>
      <t>Wintertriticale,</t>
    </r>
    <r>
      <rPr>
        <sz val="10"/>
        <color rgb="FF800000"/>
        <rFont val="Arial"/>
        <family val="2"/>
      </rPr>
      <t xml:space="preserve"> Nitrat-Projekt</t>
    </r>
  </si>
  <si>
    <r>
      <t xml:space="preserve">Winterweizen, </t>
    </r>
    <r>
      <rPr>
        <sz val="10"/>
        <color rgb="FF800000"/>
        <rFont val="Arial"/>
        <family val="2"/>
      </rPr>
      <t>Nitrat-Projekt</t>
    </r>
  </si>
  <si>
    <r>
      <t>Winter-Futterweizen,</t>
    </r>
    <r>
      <rPr>
        <sz val="10"/>
        <color rgb="FF800000"/>
        <rFont val="Arial"/>
        <family val="2"/>
      </rPr>
      <t xml:space="preserve"> Nitrat-Projekt</t>
    </r>
  </si>
  <si>
    <r>
      <t>wg</t>
    </r>
    <r>
      <rPr>
        <sz val="8"/>
        <color rgb="FF800000"/>
        <rFont val="Arial"/>
        <family val="2"/>
      </rPr>
      <t>np</t>
    </r>
  </si>
  <si>
    <r>
      <t>rp</t>
    </r>
    <r>
      <rPr>
        <sz val="8"/>
        <color rgb="FF800000"/>
        <rFont val="Arial"/>
        <family val="2"/>
      </rPr>
      <t>np</t>
    </r>
  </si>
  <si>
    <r>
      <t>rh</t>
    </r>
    <r>
      <rPr>
        <sz val="8"/>
        <color rgb="FF800000"/>
        <rFont val="Arial"/>
        <family val="2"/>
      </rPr>
      <t>np</t>
    </r>
  </si>
  <si>
    <r>
      <t>wt</t>
    </r>
    <r>
      <rPr>
        <sz val="8"/>
        <color rgb="FF800000"/>
        <rFont val="Arial"/>
        <family val="2"/>
      </rPr>
      <t>np</t>
    </r>
  </si>
  <si>
    <r>
      <t>ww</t>
    </r>
    <r>
      <rPr>
        <sz val="8"/>
        <color rgb="FF800000"/>
        <rFont val="Arial"/>
        <family val="2"/>
      </rPr>
      <t>np</t>
    </r>
  </si>
  <si>
    <r>
      <t>fw</t>
    </r>
    <r>
      <rPr>
        <sz val="8"/>
        <color rgb="FF800000"/>
        <rFont val="Arial"/>
        <family val="2"/>
      </rPr>
      <t>np</t>
    </r>
  </si>
  <si>
    <t>smgf</t>
  </si>
  <si>
    <r>
      <t>smgf</t>
    </r>
    <r>
      <rPr>
        <sz val="8"/>
        <color rgb="FF800000"/>
        <rFont val="Arial"/>
        <family val="2"/>
      </rPr>
      <t>np</t>
    </r>
  </si>
  <si>
    <t>frgf</t>
  </si>
  <si>
    <t>für Grundfutter (um 20 Zeilen verschoben, mit Kult.-Bezeichung)</t>
  </si>
  <si>
    <t xml:space="preserve"> Gruppe a (geringer N-Bedarf): Acoustic, Emanuelle, Gwenne, Lucera, Maldive, Simonetta </t>
  </si>
  <si>
    <t xml:space="preserve"> Gruppe b (N-Standardbedarf): alle Sorten, die nicht in Gruppe a oder Gruppe c sind (Agata, Agria, Amandine, Austin, Ballerina, Belmonda, Beyonce, Celtiane, Concordia, Colomba, Désirée,  Ditta, Jazzy, Jelly, Lady Christl, Laura, Lutine, Queen Anne,Sound, Sunshine, Twinner, Venezia, Verdi, Victoria, weitere nicht aufgeführte Sorten</t>
  </si>
  <si>
    <t xml:space="preserve"> Gruppe c (höherer N-Bedarf): Annabelle, Charlotte, Erika, Fontane, Innovator, Ivory Russet, Lady Claire, Lady Jane, Lady Rosetta, Markies, Pirol, SH C 1010, Sorentina, Thalessa, Vitabella </t>
  </si>
  <si>
    <t>asi</t>
  </si>
  <si>
    <t>Asia-Salate (Brassicacea) (200 kg/a)</t>
  </si>
  <si>
    <t>blks</t>
  </si>
  <si>
    <t>blkf</t>
  </si>
  <si>
    <t>Blumenkohl, Standard (350 kg/a)</t>
  </si>
  <si>
    <t>Blumenkohl, früh (350 kg/a)</t>
  </si>
  <si>
    <t>Blumenkohl, Verarbeitung (400 kg/a)</t>
  </si>
  <si>
    <t>blkv</t>
  </si>
  <si>
    <t>Broccoli (180 kg/a)</t>
  </si>
  <si>
    <t>brov</t>
  </si>
  <si>
    <t>Broccoli, Verarbeitung (250 kg/a)</t>
  </si>
  <si>
    <t>Chinakohl (600 kg/a)</t>
  </si>
  <si>
    <t>Chinakohl, Verarbeitung (700 kg/a)</t>
  </si>
  <si>
    <t>chkv</t>
  </si>
  <si>
    <t>Pak Choi (250 kg/a)</t>
  </si>
  <si>
    <t>pch</t>
  </si>
  <si>
    <t>cirv</t>
  </si>
  <si>
    <t>Cicorino rosso, Radicchio, Verarbeitung (250 kg/a)</t>
  </si>
  <si>
    <t>Petersilie, bis zum 1. Schnitt (250 kg/a)</t>
  </si>
  <si>
    <t>Petersilie, je weiterem Schnitt (150 kg/a)</t>
  </si>
  <si>
    <t>pet1</t>
  </si>
  <si>
    <t>petw</t>
  </si>
  <si>
    <t>pewu</t>
  </si>
  <si>
    <t>Petersilienwurzeln (350 kg/a)</t>
  </si>
  <si>
    <t>sp2f</t>
  </si>
  <si>
    <r>
      <t>Spinat,</t>
    </r>
    <r>
      <rPr>
        <sz val="10"/>
        <rFont val="Arial Narrow"/>
        <family val="2"/>
      </rPr>
      <t xml:space="preserve"> 1 Schnitt (150 kg/a), vor Mitte April gesät</t>
    </r>
  </si>
  <si>
    <r>
      <t>Spinat,</t>
    </r>
    <r>
      <rPr>
        <sz val="10"/>
        <rFont val="Arial Narrow"/>
        <family val="2"/>
      </rPr>
      <t xml:space="preserve"> 2 Schnitte (200 kg/a), vor Mitte April gesät</t>
    </r>
  </si>
  <si>
    <r>
      <t>Spinat,</t>
    </r>
    <r>
      <rPr>
        <sz val="10"/>
        <rFont val="Arial Narrow"/>
        <family val="2"/>
      </rPr>
      <t xml:space="preserve"> 1 Schnitt (150 kg/a), nach Mitte April gesät</t>
    </r>
  </si>
  <si>
    <r>
      <t>Spinat,</t>
    </r>
    <r>
      <rPr>
        <sz val="10"/>
        <rFont val="Arial Narrow"/>
        <family val="2"/>
      </rPr>
      <t xml:space="preserve"> 2 Schnitte (200 kg/a), nach Mitte April gesät</t>
    </r>
  </si>
  <si>
    <r>
      <t xml:space="preserve">Spinat, Winter-, 1 Schnitt </t>
    </r>
    <r>
      <rPr>
        <sz val="10"/>
        <rFont val="Arial Narrow"/>
        <family val="2"/>
      </rPr>
      <t>(250 kg/a)</t>
    </r>
  </si>
  <si>
    <r>
      <t>Spinat, Winter-, 2 Schnitte</t>
    </r>
    <r>
      <rPr>
        <sz val="10"/>
        <rFont val="Arial Narrow"/>
        <family val="2"/>
      </rPr>
      <t xml:space="preserve"> (300 kg/a)</t>
    </r>
  </si>
  <si>
    <t>spw1</t>
  </si>
  <si>
    <t>spw2</t>
  </si>
  <si>
    <t>spi1</t>
  </si>
  <si>
    <t>spi1f</t>
  </si>
  <si>
    <t>spi2f</t>
  </si>
  <si>
    <t>spi2</t>
  </si>
  <si>
    <t>spwi1</t>
  </si>
  <si>
    <t>spwi2</t>
  </si>
  <si>
    <r>
      <t>Spinat,</t>
    </r>
    <r>
      <rPr>
        <sz val="10"/>
        <rFont val="Arial Narrow"/>
        <family val="2"/>
      </rPr>
      <t xml:space="preserve"> Winter-, Industrie, 1 Schnitt (250 kg/a)</t>
    </r>
  </si>
  <si>
    <r>
      <t>Spinat,</t>
    </r>
    <r>
      <rPr>
        <sz val="10"/>
        <rFont val="Arial Narrow"/>
        <family val="2"/>
      </rPr>
      <t xml:space="preserve"> Winter-, Industrie, 2 Schnitte (300 kg/a)</t>
    </r>
  </si>
  <si>
    <r>
      <t>Spinat,</t>
    </r>
    <r>
      <rPr>
        <sz val="10"/>
        <rFont val="Arial Narrow"/>
        <family val="2"/>
      </rPr>
      <t xml:space="preserve"> Industrie, 1 Schnitt (250 kg/a), vor Mitte April gesät</t>
    </r>
  </si>
  <si>
    <r>
      <t>Spinat,</t>
    </r>
    <r>
      <rPr>
        <sz val="10"/>
        <rFont val="Arial Narrow"/>
        <family val="2"/>
      </rPr>
      <t xml:space="preserve"> Industrie, 2 Schnitte (300 kg/a), vor Mitte April gesät</t>
    </r>
  </si>
  <si>
    <r>
      <t>Spinat,</t>
    </r>
    <r>
      <rPr>
        <sz val="10"/>
        <rFont val="Arial Narrow"/>
        <family val="2"/>
      </rPr>
      <t xml:space="preserve"> Industrie, 1 Schnitt (250 kg/a), nach Mitte April gesät</t>
    </r>
  </si>
  <si>
    <r>
      <t>Spinat,</t>
    </r>
    <r>
      <rPr>
        <sz val="10"/>
        <rFont val="Arial Narrow"/>
        <family val="2"/>
      </rPr>
      <t xml:space="preserve"> Industrie, 2 Schnitte (300 kg/a), nach Mitte April gesät</t>
    </r>
  </si>
  <si>
    <t>Patisson, Kürbis (400 kg/a)</t>
  </si>
  <si>
    <t>pakü</t>
  </si>
  <si>
    <t>zucg</t>
  </si>
  <si>
    <t>zucp</t>
  </si>
  <si>
    <t>zucpk</t>
  </si>
  <si>
    <t>zucs</t>
  </si>
  <si>
    <t>Lauch (500 kg/a)</t>
  </si>
  <si>
    <t>Lauch, früh gepflanzt (400 kg/a)</t>
  </si>
  <si>
    <t>Lauch, spät gepflanzt (500 kg/a)</t>
  </si>
  <si>
    <t>Lauch, gepflanzt (400 kg/a), Überwinterung</t>
  </si>
  <si>
    <t>Lauch, gesät (550 kg/a)</t>
  </si>
  <si>
    <t>laufp</t>
  </si>
  <si>
    <t>lausp</t>
  </si>
  <si>
    <t>laup</t>
  </si>
  <si>
    <t>laus</t>
  </si>
  <si>
    <t>Bundzwiebeln, Frühjahr (250 kg/a)</t>
  </si>
  <si>
    <t>Bundzwiebeln, Sommer (250 kg/a)</t>
  </si>
  <si>
    <t>Bundzwiebeln, Überwinterung (250 kg/a)</t>
  </si>
  <si>
    <t>buzf</t>
  </si>
  <si>
    <t>buzs</t>
  </si>
  <si>
    <t>buzw</t>
  </si>
  <si>
    <t>Süsskartoffeln (350 kg/a)</t>
  </si>
  <si>
    <t>ska</t>
  </si>
  <si>
    <t>paküg</t>
  </si>
  <si>
    <t>Kirschen (20 t/ha), hoher Ertrag</t>
  </si>
  <si>
    <t>him5</t>
  </si>
  <si>
    <t>brb3</t>
  </si>
  <si>
    <t>joh3</t>
  </si>
  <si>
    <r>
      <t>Johannisbeeren, rote, 2.0 kg/m</t>
    </r>
    <r>
      <rPr>
        <vertAlign val="superscript"/>
        <sz val="10"/>
        <rFont val="Arial"/>
        <family val="2"/>
      </rPr>
      <t>2</t>
    </r>
  </si>
  <si>
    <r>
      <t>Johannisbeeren, rote, 2.5 kg/m</t>
    </r>
    <r>
      <rPr>
        <vertAlign val="superscript"/>
        <sz val="10"/>
        <rFont val="Arial"/>
        <family val="2"/>
      </rPr>
      <t>2</t>
    </r>
  </si>
  <si>
    <r>
      <t>Johannisbeeren, rote, 3.5 kg/m</t>
    </r>
    <r>
      <rPr>
        <vertAlign val="superscript"/>
        <sz val="10"/>
        <rFont val="Arial"/>
        <family val="2"/>
      </rPr>
      <t>2</t>
    </r>
  </si>
  <si>
    <r>
      <t>Cassis, 3.5 kg/m</t>
    </r>
    <r>
      <rPr>
        <vertAlign val="superscript"/>
        <sz val="10"/>
        <rFont val="Arial"/>
        <family val="2"/>
      </rPr>
      <t>2</t>
    </r>
  </si>
  <si>
    <r>
      <t>Cassis, 2.5 kg/m</t>
    </r>
    <r>
      <rPr>
        <vertAlign val="superscript"/>
        <sz val="10"/>
        <rFont val="Arial"/>
        <family val="2"/>
      </rPr>
      <t>2</t>
    </r>
  </si>
  <si>
    <r>
      <t>Stachelbeeren, 1.7 kg/m</t>
    </r>
    <r>
      <rPr>
        <vertAlign val="superscript"/>
        <sz val="10"/>
        <rFont val="Arial"/>
        <family val="2"/>
      </rPr>
      <t>2</t>
    </r>
  </si>
  <si>
    <r>
      <t>Stachelbeeren, 2.5 kg/m</t>
    </r>
    <r>
      <rPr>
        <vertAlign val="superscript"/>
        <sz val="10"/>
        <rFont val="Arial"/>
        <family val="2"/>
      </rPr>
      <t>2</t>
    </r>
  </si>
  <si>
    <r>
      <t>Erdbeeren, 1-jährig, 2.0 kg/m</t>
    </r>
    <r>
      <rPr>
        <vertAlign val="superscript"/>
        <sz val="10"/>
        <rFont val="Arial"/>
        <family val="2"/>
      </rPr>
      <t>2</t>
    </r>
  </si>
  <si>
    <r>
      <t>Erdbeeren, 1-jährig, 3.0 kg/m</t>
    </r>
    <r>
      <rPr>
        <vertAlign val="superscript"/>
        <sz val="10"/>
        <rFont val="Arial"/>
        <family val="2"/>
      </rPr>
      <t>2</t>
    </r>
  </si>
  <si>
    <r>
      <t>Erdbeeren, 1-jährig, 4.0 kg/m</t>
    </r>
    <r>
      <rPr>
        <vertAlign val="superscript"/>
        <sz val="10"/>
        <rFont val="Arial"/>
        <family val="2"/>
      </rPr>
      <t>2</t>
    </r>
  </si>
  <si>
    <t>eb13</t>
  </si>
  <si>
    <t>Erdbeeren-Jungpflanzen (Tray-Pflanzen)</t>
  </si>
  <si>
    <t>ebtp</t>
  </si>
  <si>
    <r>
      <t>Heidelbeeren, 1.5 kg/m</t>
    </r>
    <r>
      <rPr>
        <vertAlign val="superscript"/>
        <sz val="10"/>
        <rFont val="Arial"/>
        <family val="2"/>
      </rPr>
      <t>2</t>
    </r>
  </si>
  <si>
    <r>
      <t>Heidelbeeren, 2.5 kg/m</t>
    </r>
    <r>
      <rPr>
        <vertAlign val="superscript"/>
        <sz val="10"/>
        <rFont val="Arial"/>
        <family val="2"/>
      </rPr>
      <t>2</t>
    </r>
  </si>
  <si>
    <t>Beeren: Die Ertragsangaben (kg/m2) sind als Richtwerte zu verstehen.</t>
  </si>
  <si>
    <r>
      <t>Himbeeren, 1.5 kg/m</t>
    </r>
    <r>
      <rPr>
        <vertAlign val="superscript"/>
        <sz val="10"/>
        <rFont val="Arial"/>
        <family val="2"/>
      </rPr>
      <t>2</t>
    </r>
  </si>
  <si>
    <r>
      <t>Himbeeren, 2.5 kg/m</t>
    </r>
    <r>
      <rPr>
        <vertAlign val="superscript"/>
        <sz val="10"/>
        <rFont val="Arial"/>
        <family val="2"/>
      </rPr>
      <t>2</t>
    </r>
  </si>
  <si>
    <r>
      <t>Himbeeren, 3.5 kg/m</t>
    </r>
    <r>
      <rPr>
        <vertAlign val="superscript"/>
        <sz val="10"/>
        <rFont val="Arial"/>
        <family val="2"/>
      </rPr>
      <t>2</t>
    </r>
  </si>
  <si>
    <r>
      <t xml:space="preserve">Strauchbeeren diverse </t>
    </r>
    <r>
      <rPr>
        <sz val="8"/>
        <rFont val="Arial Narrow"/>
        <family val="2"/>
      </rPr>
      <t>(Minikiwi, Holunder, Goji, Aronia, Lonicera)</t>
    </r>
  </si>
  <si>
    <t>für Kulturen Grundfutter</t>
  </si>
  <si>
    <t>Ertragsbereich &lt;600 m</t>
  </si>
  <si>
    <t>N-Norm</t>
  </si>
  <si>
    <r>
      <t>Silomais, Ganzpfl.-Sorghum,</t>
    </r>
    <r>
      <rPr>
        <sz val="10"/>
        <color rgb="FF800000"/>
        <rFont val="Arial"/>
        <family val="2"/>
      </rPr>
      <t xml:space="preserve"> Nitratgebiet</t>
    </r>
  </si>
  <si>
    <t>Betriebs-</t>
  </si>
  <si>
    <t>erhebungs-</t>
  </si>
  <si>
    <t>formular</t>
  </si>
  <si>
    <r>
      <t>Kulturen</t>
    </r>
    <r>
      <rPr>
        <sz val="8"/>
        <rFont val="Arial"/>
        <family val="2"/>
      </rPr>
      <t xml:space="preserve">  </t>
    </r>
    <r>
      <rPr>
        <sz val="8"/>
        <rFont val="Arial Narrow"/>
        <family val="2"/>
      </rPr>
      <t>(für Grundfutter)</t>
    </r>
  </si>
  <si>
    <t>Formel V1.19: =WENN(UND(ISTZAHL(F61);ISTZAHL(G61);ISTZAHL(F77);ISTZAHL(G77));WENN(G61&lt;1.25*G77;1;0))</t>
  </si>
  <si>
    <t>Version 1.11</t>
  </si>
  <si>
    <r>
      <t xml:space="preserve">Berechnung nach Zusatzmodul 6 </t>
    </r>
    <r>
      <rPr>
        <sz val="10"/>
        <rFont val="Arial"/>
        <family val="2"/>
      </rPr>
      <t>(Auflage 1.15, Weisungen zur Berücksichtigung von nährstoffreduziertem Futter in der Suisse-Bilanz)</t>
    </r>
  </si>
  <si>
    <t>Himbeeren-Jungpflanzen (Long-Cane)</t>
  </si>
  <si>
    <t>himlc</t>
  </si>
  <si>
    <t>Grunddaten für die Lineare Korrektur, Version 1.15</t>
  </si>
  <si>
    <t>Freilandgemüse, Blumen (= offenes Ackerland), 1-jährige Beeren (z.B. 1-jährige Erdbeeren)</t>
  </si>
  <si>
    <r>
      <t xml:space="preserve">Zucchetti, gepflanzt, Sommer und Herbst </t>
    </r>
    <r>
      <rPr>
        <sz val="10"/>
        <rFont val="Arial Narrow"/>
        <family val="2"/>
      </rPr>
      <t>(500 kg/a)</t>
    </r>
  </si>
  <si>
    <r>
      <t xml:space="preserve">Zucchetti, gepflanzt, frühe Kurzkultur </t>
    </r>
    <r>
      <rPr>
        <sz val="10"/>
        <rFont val="Arial Narrow"/>
        <family val="2"/>
      </rPr>
      <t>(450 kg/a)</t>
    </r>
  </si>
  <si>
    <r>
      <t xml:space="preserve">Zucchetti, gesät, Sommer und Herbst </t>
    </r>
    <r>
      <rPr>
        <sz val="10"/>
        <rFont val="Arial Narrow"/>
        <family val="2"/>
      </rPr>
      <t>(450 kg/a)</t>
    </r>
  </si>
  <si>
    <t>Zwiebeln (600 kg/a)</t>
  </si>
  <si>
    <t>Zucchetti (600 kg/a), GH</t>
  </si>
  <si>
    <t>Spinat (120 kg/a), GH</t>
  </si>
  <si>
    <t>Patisson, Kürbis (600 kg/a), GH</t>
  </si>
  <si>
    <r>
      <t>Brombeeren, 2.0 kg/m</t>
    </r>
    <r>
      <rPr>
        <vertAlign val="superscript"/>
        <sz val="10"/>
        <rFont val="Arial"/>
        <family val="2"/>
      </rPr>
      <t>2</t>
    </r>
  </si>
  <si>
    <r>
      <t>Brombeeren, 3.0 kg/m</t>
    </r>
    <r>
      <rPr>
        <vertAlign val="superscript"/>
        <sz val="10"/>
        <rFont val="Arial"/>
        <family val="2"/>
      </rPr>
      <t>2</t>
    </r>
  </si>
  <si>
    <r>
      <t>Brombeeren, 4.0 kg/m</t>
    </r>
    <r>
      <rPr>
        <vertAlign val="superscript"/>
        <sz val="10"/>
        <rFont val="Arial"/>
        <family val="2"/>
      </rPr>
      <t>2</t>
    </r>
  </si>
  <si>
    <t>520, 529</t>
  </si>
  <si>
    <t>513, 510</t>
  </si>
  <si>
    <t>507, 513</t>
  </si>
  <si>
    <t>Sojabohnen</t>
  </si>
  <si>
    <r>
      <t>CCM-Mais</t>
    </r>
    <r>
      <rPr>
        <sz val="10"/>
        <rFont val="Arial Narrow"/>
        <family val="2"/>
      </rPr>
      <t xml:space="preserve"> (wie Kö-Mais, 86% TS)</t>
    </r>
  </si>
  <si>
    <r>
      <t xml:space="preserve">CCM-Mais </t>
    </r>
    <r>
      <rPr>
        <sz val="10"/>
        <rFont val="Arial Narrow"/>
        <family val="2"/>
      </rPr>
      <t>(wie Kö-Mais, 86% TS)</t>
    </r>
    <r>
      <rPr>
        <sz val="10"/>
        <rFont val="Arial"/>
        <family val="2"/>
      </rPr>
      <t>,</t>
    </r>
    <r>
      <rPr>
        <sz val="10"/>
        <color rgb="FF800000"/>
        <rFont val="Arial"/>
        <family val="2"/>
      </rPr>
      <t xml:space="preserve"> Nitrat-Projekt</t>
    </r>
  </si>
  <si>
    <t>agridea</t>
  </si>
  <si>
    <r>
      <t xml:space="preserve">Korrektur N-Düngung </t>
    </r>
    <r>
      <rPr>
        <b/>
        <sz val="10"/>
        <color rgb="FF0000FF"/>
        <rFont val="Arial Narrow"/>
        <family val="2"/>
      </rPr>
      <t>(GRUD 8, Tab. 11)</t>
    </r>
  </si>
  <si>
    <r>
      <t xml:space="preserve">Die zusätzlichen Berechnungen A und B sind </t>
    </r>
    <r>
      <rPr>
        <b/>
        <u/>
        <sz val="10"/>
        <color rgb="FF993300"/>
        <rFont val="Arial"/>
        <family val="2"/>
      </rPr>
      <t>nicht</t>
    </r>
    <r>
      <rPr>
        <b/>
        <sz val="10"/>
        <color indexed="60"/>
        <rFont val="Arial"/>
        <family val="2"/>
      </rPr>
      <t xml:space="preserve"> Bestandteil der Nährstoffbilanz (und entsprechend für diese in der Regel nicht nötig).  </t>
    </r>
  </si>
  <si>
    <t xml:space="preserve"> = Ende der 
Suisse-Bilanz</t>
  </si>
  <si>
    <t>(Basis = Version 1.20,  2025, agridea und EVD/BLW)</t>
  </si>
  <si>
    <r>
      <rPr>
        <b/>
        <sz val="10"/>
        <rFont val="Arial"/>
        <family val="2"/>
      </rPr>
      <t>- Das Arbeitsblatt "Suisse_Bilanz_1.20" ist die Berechnungstabelle für die Nährstoffbilanz</t>
    </r>
    <r>
      <rPr>
        <sz val="10"/>
        <rFont val="Arial"/>
        <family val="2"/>
      </rPr>
      <t xml:space="preserve"> (sowie Menge und Gehalte der Hofdünger).</t>
    </r>
  </si>
  <si>
    <t>https://agridea.abacuscity.ch/de/A~4918~1/Wegleitung-Suisse-Bilanz-Version-1.20-%282025-und-2026%29/Deutsch/Print-Papier</t>
  </si>
  <si>
    <t>Tabak Virginie</t>
  </si>
  <si>
    <t>Mutterkühe leicht, LG bis 600 kg (Werte ohne Kalb)</t>
  </si>
  <si>
    <r>
      <rPr>
        <b/>
        <i/>
        <sz val="8.5"/>
        <rFont val="Arial Narrow"/>
        <family val="2"/>
      </rPr>
      <t xml:space="preserve">Zwischenfrüchte </t>
    </r>
    <r>
      <rPr>
        <i/>
        <sz val="7.5"/>
        <rFont val="Arial Narrow"/>
        <family val="2"/>
      </rPr>
      <t>(ohne Kunstwiesen)</t>
    </r>
  </si>
  <si>
    <r>
      <rPr>
        <b/>
        <i/>
        <sz val="8.5"/>
        <rFont val="Arial Narrow"/>
        <family val="2"/>
      </rPr>
      <t>Zwischenfutter</t>
    </r>
    <r>
      <rPr>
        <i/>
        <sz val="7.5"/>
        <rFont val="Arial Narrow"/>
        <family val="2"/>
      </rPr>
      <t>(herbstgesäte KW, Äugstlen, Frühjahrsschnitte vor Wiesenumbruch)</t>
    </r>
  </si>
  <si>
    <t xml:space="preserve">    bei Wiesen pro Nutzung etwa mit 15 - 25 dt TS/ha rechnen, dann Korrektur vornehmen, so dass Grundfutterbilanz bzw. GF-Erträge realistisch und plausibel sind. </t>
  </si>
  <si>
    <t>Auskunft: Fabian Furrer 041 666 64 53</t>
  </si>
  <si>
    <t xml:space="preserve">  Version 1.20 - 2025 Copyright by ALU, Dienststelle Direktzahlungen, 6060 Sarnen</t>
  </si>
  <si>
    <r>
      <t xml:space="preserve">    - Abzug für verfüttertes "nährstoffarmes Grundfutter" </t>
    </r>
    <r>
      <rPr>
        <vertAlign val="superscript"/>
        <sz val="7"/>
        <rFont val="Arial"/>
        <family val="2"/>
      </rPr>
      <t xml:space="preserve"> (1)</t>
    </r>
    <r>
      <rPr>
        <i/>
        <sz val="7"/>
        <rFont val="Arial"/>
        <family val="2"/>
      </rPr>
      <t>:</t>
    </r>
  </si>
  <si>
    <t>Ende der Suissebilanz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</si>
</sst>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164" formatCode="#,##0.00_);[Red]\(#,##0.00\)"/>
    <numFmt numFmtId="165" formatCode="0.0"/>
    <numFmt numFmtId="166" formatCode="0.000"/>
    <numFmt numFmtId="167" formatCode="0.0%"/>
    <numFmt numFmtId="168" formatCode="0;0;"/>
    <numFmt numFmtId="169" formatCode="0;\-0;"/>
    <numFmt numFmtId="170" formatCode="0.00;\-0;"/>
    <numFmt numFmtId="171" formatCode="#,##0_ ;[Red]\-#,##0\ "/>
    <numFmt numFmtId="172" formatCode="00000"/>
    <numFmt numFmtId="173" formatCode="dd/mm/yy"/>
    <numFmt numFmtId="174" formatCode="#,##0.0"/>
    <numFmt numFmtId="175" formatCode="[&lt;0.1]0.0%;0%"/>
    <numFmt numFmtId="176" formatCode="#,##0.0&quot;*&quot;"/>
    <numFmt numFmtId="177" formatCode="#,##0.0&quot;**&quot;"/>
    <numFmt numFmtId="178" formatCode="0.00000"/>
    <numFmt numFmtId="179" formatCode="[&gt;100]0;0.00"/>
    <numFmt numFmtId="180" formatCode="General_)"/>
    <numFmt numFmtId="181" formatCode="#,##0_)"/>
    <numFmt numFmtId="182" formatCode="0_)"/>
    <numFmt numFmtId="183" formatCode="0.00_)"/>
    <numFmt numFmtId="184" formatCode="&quot;A7: &quot;#0"/>
    <numFmt numFmtId="185" formatCode="0.0\ &quot;%&quot;"/>
    <numFmt numFmtId="186" formatCode="0;[Red]0"/>
    <numFmt numFmtId="187" formatCode="0&quot; kg&quot;"/>
    <numFmt numFmtId="188" formatCode="0.0000"/>
    <numFmt numFmtId="189" formatCode="0.000000"/>
    <numFmt numFmtId="190" formatCode="#,##0.00_)"/>
  </numFmts>
  <fonts count="398">
    <font>
      <sz val="10"/>
      <name val="MS Sans Serif"/>
    </font>
    <font>
      <sz val="10"/>
      <name val="MS Sans Serif"/>
      <family val="2"/>
    </font>
    <font>
      <b/>
      <sz val="9"/>
      <name val="Arial"/>
      <family val="2"/>
    </font>
    <font>
      <b/>
      <sz val="8"/>
      <color indexed="43"/>
      <name val="Arial"/>
      <family val="2"/>
    </font>
    <font>
      <sz val="8"/>
      <color indexed="8"/>
      <name val="Arial"/>
      <family val="2"/>
    </font>
    <font>
      <b/>
      <i/>
      <u/>
      <sz val="8"/>
      <name val="Arial"/>
      <family val="2"/>
    </font>
    <font>
      <sz val="8"/>
      <name val="Arial"/>
      <family val="2"/>
    </font>
    <font>
      <b/>
      <i/>
      <sz val="9"/>
      <color indexed="12"/>
      <name val="Arial"/>
      <family val="2"/>
    </font>
    <font>
      <i/>
      <sz val="8"/>
      <color indexed="12"/>
      <name val="Arial"/>
      <family val="2"/>
    </font>
    <font>
      <i/>
      <sz val="9"/>
      <color indexed="12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sz val="6"/>
      <name val="Arial"/>
      <family val="2"/>
    </font>
    <font>
      <b/>
      <i/>
      <sz val="10"/>
      <color indexed="10"/>
      <name val="Arial"/>
      <family val="2"/>
    </font>
    <font>
      <sz val="9"/>
      <name val="Arial"/>
      <family val="2"/>
    </font>
    <font>
      <i/>
      <sz val="9"/>
      <color indexed="10"/>
      <name val="Arial"/>
      <family val="2"/>
    </font>
    <font>
      <vertAlign val="subscript"/>
      <sz val="8"/>
      <name val="Arial"/>
      <family val="2"/>
    </font>
    <font>
      <b/>
      <vertAlign val="subscript"/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vertAlign val="superscript"/>
      <sz val="8"/>
      <name val="Arial"/>
      <family val="2"/>
    </font>
    <font>
      <b/>
      <i/>
      <sz val="9"/>
      <color indexed="10"/>
      <name val="Arial"/>
      <family val="2"/>
    </font>
    <font>
      <b/>
      <vertAlign val="subscript"/>
      <sz val="9"/>
      <name val="Arial"/>
      <family val="2"/>
    </font>
    <font>
      <b/>
      <sz val="10"/>
      <color indexed="12"/>
      <name val="Arial"/>
      <family val="2"/>
    </font>
    <font>
      <sz val="8"/>
      <color indexed="12"/>
      <name val="Arial"/>
      <family val="2"/>
    </font>
    <font>
      <b/>
      <sz val="8"/>
      <color indexed="12"/>
      <name val="Arial"/>
      <family val="2"/>
    </font>
    <font>
      <b/>
      <sz val="9"/>
      <color indexed="10"/>
      <name val="Arial"/>
      <family val="2"/>
    </font>
    <font>
      <sz val="8"/>
      <color indexed="10"/>
      <name val="Arial"/>
      <family val="2"/>
    </font>
    <font>
      <b/>
      <sz val="8"/>
      <color indexed="10"/>
      <name val="Arial"/>
      <family val="2"/>
    </font>
    <font>
      <b/>
      <sz val="9"/>
      <color indexed="8"/>
      <name val="Arial"/>
      <family val="2"/>
    </font>
    <font>
      <b/>
      <sz val="9"/>
      <color indexed="12"/>
      <name val="Arial"/>
      <family val="2"/>
    </font>
    <font>
      <b/>
      <sz val="9"/>
      <color indexed="37"/>
      <name val="Arial"/>
      <family val="2"/>
    </font>
    <font>
      <b/>
      <sz val="8"/>
      <color indexed="37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vertAlign val="subscript"/>
      <sz val="10"/>
      <name val="Arial"/>
      <family val="2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7"/>
      <name val="Arial"/>
      <family val="2"/>
    </font>
    <font>
      <i/>
      <sz val="9"/>
      <name val="Arial"/>
      <family val="2"/>
    </font>
    <font>
      <b/>
      <i/>
      <sz val="8"/>
      <color indexed="14"/>
      <name val="Arial"/>
      <family val="2"/>
    </font>
    <font>
      <b/>
      <vertAlign val="superscript"/>
      <sz val="9"/>
      <name val="Arial"/>
      <family val="2"/>
    </font>
    <font>
      <b/>
      <vertAlign val="subscript"/>
      <sz val="10"/>
      <name val="Arial"/>
      <family val="2"/>
    </font>
    <font>
      <b/>
      <sz val="8"/>
      <color indexed="8"/>
      <name val="Arial"/>
      <family val="2"/>
    </font>
    <font>
      <b/>
      <vertAlign val="subscript"/>
      <sz val="8"/>
      <color indexed="8"/>
      <name val="Arial"/>
      <family val="2"/>
    </font>
    <font>
      <b/>
      <sz val="9"/>
      <color indexed="14"/>
      <name val="Arial"/>
      <family val="2"/>
    </font>
    <font>
      <b/>
      <sz val="10"/>
      <color indexed="14"/>
      <name val="Arial"/>
      <family val="2"/>
    </font>
    <font>
      <sz val="5"/>
      <name val="Arial"/>
      <family val="2"/>
    </font>
    <font>
      <b/>
      <sz val="11"/>
      <color indexed="10"/>
      <name val="Arial"/>
      <family val="2"/>
    </font>
    <font>
      <b/>
      <sz val="10"/>
      <color indexed="8"/>
      <name val="Arial"/>
      <family val="2"/>
    </font>
    <font>
      <b/>
      <i/>
      <sz val="8"/>
      <name val="Arial"/>
      <family val="2"/>
    </font>
    <font>
      <vertAlign val="superscript"/>
      <sz val="9"/>
      <name val="Arial"/>
      <family val="2"/>
    </font>
    <font>
      <sz val="8"/>
      <name val="MS Sans Serif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9"/>
      <name val="Symbol"/>
      <family val="1"/>
      <charset val="2"/>
    </font>
    <font>
      <b/>
      <i/>
      <sz val="10"/>
      <name val="Arial"/>
      <family val="2"/>
    </font>
    <font>
      <i/>
      <vertAlign val="subscript"/>
      <sz val="9"/>
      <color indexed="12"/>
      <name val="Arial"/>
      <family val="2"/>
    </font>
    <font>
      <b/>
      <sz val="8"/>
      <color indexed="39"/>
      <name val="Arial"/>
      <family val="2"/>
    </font>
    <font>
      <b/>
      <i/>
      <sz val="9"/>
      <color indexed="14"/>
      <name val="Arial"/>
      <family val="2"/>
    </font>
    <font>
      <sz val="8"/>
      <color indexed="10"/>
      <name val="Arial"/>
      <family val="2"/>
    </font>
    <font>
      <b/>
      <sz val="13"/>
      <name val="Arial"/>
      <family val="2"/>
    </font>
    <font>
      <sz val="8"/>
      <color indexed="9"/>
      <name val="Arial"/>
      <family val="2"/>
    </font>
    <font>
      <b/>
      <i/>
      <sz val="8"/>
      <color indexed="12"/>
      <name val="Arial"/>
      <family val="2"/>
    </font>
    <font>
      <i/>
      <sz val="8"/>
      <color indexed="10"/>
      <name val="Arial"/>
      <family val="2"/>
    </font>
    <font>
      <sz val="8"/>
      <name val="Arial"/>
      <family val="2"/>
    </font>
    <font>
      <sz val="9"/>
      <name val="Arial"/>
      <family val="2"/>
    </font>
    <font>
      <i/>
      <sz val="8"/>
      <name val="MS Sans Serif"/>
      <family val="2"/>
    </font>
    <font>
      <sz val="10"/>
      <name val="Arial"/>
      <family val="2"/>
    </font>
    <font>
      <b/>
      <sz val="14"/>
      <name val="Arial"/>
      <family val="2"/>
    </font>
    <font>
      <sz val="11"/>
      <name val="Arial Narrow"/>
      <family val="2"/>
    </font>
    <font>
      <vertAlign val="subscript"/>
      <sz val="11"/>
      <name val="Arial"/>
      <family val="2"/>
    </font>
    <font>
      <b/>
      <sz val="10"/>
      <color indexed="33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name val="Arial"/>
      <family val="2"/>
    </font>
    <font>
      <sz val="11"/>
      <color indexed="39"/>
      <name val="Arial"/>
      <family val="2"/>
    </font>
    <font>
      <b/>
      <vertAlign val="subscript"/>
      <sz val="11"/>
      <name val="Arial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sz val="10"/>
      <color indexed="39"/>
      <name val="Arial"/>
      <family val="2"/>
    </font>
    <font>
      <sz val="11"/>
      <color indexed="33"/>
      <name val="Arial"/>
      <family val="2"/>
    </font>
    <font>
      <vertAlign val="subscript"/>
      <sz val="9"/>
      <name val="Arial"/>
      <family val="2"/>
    </font>
    <font>
      <sz val="11"/>
      <color indexed="8"/>
      <name val="Arial"/>
      <family val="2"/>
    </font>
    <font>
      <sz val="11"/>
      <color indexed="8"/>
      <name val="Arial"/>
      <family val="2"/>
    </font>
    <font>
      <sz val="10"/>
      <color indexed="8"/>
      <name val="MS Sans Serif"/>
      <family val="2"/>
    </font>
    <font>
      <b/>
      <sz val="11"/>
      <color indexed="8"/>
      <name val="Arial"/>
      <family val="2"/>
    </font>
    <font>
      <sz val="11"/>
      <color indexed="8"/>
      <name val="Arial Narrow"/>
      <family val="2"/>
    </font>
    <font>
      <sz val="9"/>
      <color indexed="8"/>
      <name val="Arial"/>
      <family val="2"/>
    </font>
    <font>
      <u/>
      <sz val="10"/>
      <name val="Arial"/>
      <family val="2"/>
    </font>
    <font>
      <sz val="11"/>
      <color indexed="17"/>
      <name val="Arial"/>
      <family val="2"/>
    </font>
    <font>
      <u/>
      <sz val="10"/>
      <color indexed="12"/>
      <name val="MS Sans Serif"/>
      <family val="2"/>
    </font>
    <font>
      <sz val="10"/>
      <name val="Arial Narrow"/>
      <family val="2"/>
    </font>
    <font>
      <sz val="10"/>
      <color indexed="50"/>
      <name val="Arial"/>
      <family val="2"/>
    </font>
    <font>
      <b/>
      <sz val="10"/>
      <color indexed="17"/>
      <name val="Arial"/>
      <family val="2"/>
    </font>
    <font>
      <sz val="9"/>
      <color indexed="12"/>
      <name val="Arial"/>
      <family val="2"/>
    </font>
    <font>
      <sz val="10"/>
      <color indexed="12"/>
      <name val="Arial"/>
      <family val="2"/>
    </font>
    <font>
      <b/>
      <u/>
      <sz val="9"/>
      <color indexed="12"/>
      <name val="Arial"/>
      <family val="2"/>
    </font>
    <font>
      <b/>
      <sz val="8"/>
      <color indexed="10"/>
      <name val="Arial Narrow"/>
      <family val="2"/>
    </font>
    <font>
      <vertAlign val="subscript"/>
      <sz val="7"/>
      <name val="Arial"/>
      <family val="2"/>
    </font>
    <font>
      <b/>
      <sz val="9"/>
      <name val="Arial Narrow"/>
      <family val="2"/>
    </font>
    <font>
      <sz val="9"/>
      <name val="Arial Narrow"/>
      <family val="2"/>
    </font>
    <font>
      <b/>
      <sz val="8"/>
      <color indexed="20"/>
      <name val="Arial"/>
      <family val="2"/>
    </font>
    <font>
      <sz val="9"/>
      <color indexed="12"/>
      <name val="Arial Narrow"/>
      <family val="2"/>
    </font>
    <font>
      <sz val="9"/>
      <color indexed="16"/>
      <name val="Arial Narrow"/>
      <family val="2"/>
    </font>
    <font>
      <sz val="10"/>
      <color indexed="12"/>
      <name val="Arial Narrow"/>
      <family val="2"/>
    </font>
    <font>
      <b/>
      <sz val="8"/>
      <color indexed="14"/>
      <name val="Arial"/>
      <family val="2"/>
    </font>
    <font>
      <sz val="10"/>
      <color indexed="17"/>
      <name val="Arial"/>
      <family val="2"/>
    </font>
    <font>
      <sz val="10"/>
      <color indexed="20"/>
      <name val="Arial Narrow"/>
      <family val="2"/>
    </font>
    <font>
      <vertAlign val="superscript"/>
      <sz val="10"/>
      <name val="Arial"/>
      <family val="2"/>
    </font>
    <font>
      <b/>
      <sz val="10"/>
      <color indexed="20"/>
      <name val="Arial"/>
      <family val="2"/>
    </font>
    <font>
      <sz val="10"/>
      <color indexed="20"/>
      <name val="Arial"/>
      <family val="2"/>
    </font>
    <font>
      <sz val="8"/>
      <color indexed="20"/>
      <name val="Arial"/>
      <family val="2"/>
    </font>
    <font>
      <b/>
      <sz val="11"/>
      <color indexed="12"/>
      <name val="Arial"/>
      <family val="2"/>
    </font>
    <font>
      <sz val="10"/>
      <color indexed="16"/>
      <name val="Arial Narrow"/>
      <family val="2"/>
    </font>
    <font>
      <sz val="8"/>
      <color indexed="12"/>
      <name val="Arial Narrow"/>
      <family val="2"/>
    </font>
    <font>
      <sz val="8"/>
      <color indexed="20"/>
      <name val="Arial Narrow"/>
      <family val="2"/>
    </font>
    <font>
      <sz val="8"/>
      <color indexed="58"/>
      <name val="Arial Narrow"/>
      <family val="2"/>
    </font>
    <font>
      <sz val="10"/>
      <color indexed="14"/>
      <name val="Arial"/>
      <family val="2"/>
    </font>
    <font>
      <sz val="10"/>
      <color indexed="16"/>
      <name val="Arial"/>
      <family val="2"/>
    </font>
    <font>
      <b/>
      <sz val="10"/>
      <color indexed="16"/>
      <name val="Arial"/>
      <family val="2"/>
    </font>
    <font>
      <b/>
      <sz val="10"/>
      <color indexed="16"/>
      <name val="Arial Narrow"/>
      <family val="2"/>
    </font>
    <font>
      <b/>
      <sz val="10"/>
      <color indexed="12"/>
      <name val="Arial Narrow"/>
      <family val="2"/>
    </font>
    <font>
      <sz val="14"/>
      <name val="Arial"/>
      <family val="2"/>
    </font>
    <font>
      <sz val="12"/>
      <name val="Arial"/>
      <family val="2"/>
    </font>
    <font>
      <i/>
      <sz val="10"/>
      <name val="Arial Narrow"/>
      <family val="2"/>
    </font>
    <font>
      <i/>
      <sz val="10"/>
      <color indexed="16"/>
      <name val="Arial Narrow"/>
      <family val="2"/>
    </font>
    <font>
      <b/>
      <sz val="10"/>
      <color indexed="20"/>
      <name val="Arial Narrow"/>
      <family val="2"/>
    </font>
    <font>
      <b/>
      <sz val="10"/>
      <color indexed="81"/>
      <name val="Arial Narrow"/>
      <family val="2"/>
    </font>
    <font>
      <sz val="10"/>
      <color indexed="81"/>
      <name val="Arial Narrow"/>
      <family val="2"/>
    </font>
    <font>
      <b/>
      <sz val="8"/>
      <name val="Arial Narrow"/>
      <family val="2"/>
    </font>
    <font>
      <sz val="9"/>
      <color indexed="10"/>
      <name val="Arial"/>
      <family val="2"/>
    </font>
    <font>
      <b/>
      <i/>
      <sz val="9"/>
      <name val="Arial"/>
      <family val="2"/>
    </font>
    <font>
      <i/>
      <vertAlign val="superscript"/>
      <sz val="8"/>
      <name val="Arial"/>
      <family val="2"/>
    </font>
    <font>
      <u/>
      <sz val="10"/>
      <color indexed="20"/>
      <name val="Arial"/>
      <family val="2"/>
    </font>
    <font>
      <b/>
      <u/>
      <sz val="10"/>
      <color indexed="16"/>
      <name val="Arial"/>
      <family val="2"/>
    </font>
    <font>
      <sz val="9"/>
      <color indexed="81"/>
      <name val="Arial Narrow"/>
      <family val="2"/>
    </font>
    <font>
      <b/>
      <sz val="10"/>
      <color indexed="56"/>
      <name val="Arial"/>
      <family val="2"/>
    </font>
    <font>
      <b/>
      <i/>
      <sz val="10"/>
      <name val="Arial Narrow"/>
      <family val="2"/>
    </font>
    <font>
      <b/>
      <sz val="10"/>
      <name val="Arial Narrow"/>
      <family val="2"/>
    </font>
    <font>
      <i/>
      <sz val="10"/>
      <color indexed="12"/>
      <name val="Arial"/>
      <family val="2"/>
    </font>
    <font>
      <sz val="9"/>
      <color indexed="14"/>
      <name val="Arial"/>
      <family val="2"/>
    </font>
    <font>
      <b/>
      <sz val="9"/>
      <color indexed="17"/>
      <name val="Arial"/>
      <family val="2"/>
    </font>
    <font>
      <b/>
      <sz val="12"/>
      <name val="Arial"/>
      <family val="2"/>
    </font>
    <font>
      <vertAlign val="subscript"/>
      <sz val="10"/>
      <name val="Arial Narrow"/>
      <family val="2"/>
    </font>
    <font>
      <sz val="10"/>
      <color indexed="10"/>
      <name val="Arial Narrow"/>
      <family val="2"/>
    </font>
    <font>
      <sz val="10"/>
      <color indexed="8"/>
      <name val="Arial Narrow"/>
      <family val="2"/>
    </font>
    <font>
      <vertAlign val="subscript"/>
      <sz val="9"/>
      <name val="Arial Narrow"/>
      <family val="2"/>
    </font>
    <font>
      <i/>
      <sz val="8"/>
      <color indexed="9"/>
      <name val="Arial Narrow"/>
      <family val="2"/>
    </font>
    <font>
      <sz val="10"/>
      <color indexed="81"/>
      <name val="Arial"/>
      <family val="2"/>
    </font>
    <font>
      <sz val="9"/>
      <color indexed="16"/>
      <name val="Arial"/>
      <family val="2"/>
    </font>
    <font>
      <sz val="8"/>
      <color indexed="16"/>
      <name val="Arial"/>
      <family val="2"/>
    </font>
    <font>
      <b/>
      <sz val="9"/>
      <color indexed="20"/>
      <name val="Arial"/>
      <family val="2"/>
    </font>
    <font>
      <b/>
      <sz val="9"/>
      <color indexed="12"/>
      <name val="Arial Narrow"/>
      <family val="2"/>
    </font>
    <font>
      <sz val="8"/>
      <color indexed="16"/>
      <name val="Arial Narrow"/>
      <family val="2"/>
    </font>
    <font>
      <i/>
      <sz val="7.5"/>
      <name val="Arial Narrow"/>
      <family val="2"/>
    </font>
    <font>
      <b/>
      <sz val="11"/>
      <color indexed="39"/>
      <name val="Arial"/>
      <family val="2"/>
    </font>
    <font>
      <b/>
      <u/>
      <sz val="11"/>
      <color indexed="39"/>
      <name val="Arial"/>
      <family val="2"/>
    </font>
    <font>
      <u/>
      <sz val="8"/>
      <color indexed="12"/>
      <name val="Arial"/>
      <family val="2"/>
    </font>
    <font>
      <i/>
      <sz val="10"/>
      <color indexed="12"/>
      <name val="Arial Narrow"/>
      <family val="2"/>
    </font>
    <font>
      <b/>
      <i/>
      <sz val="10"/>
      <color indexed="16"/>
      <name val="Arial Narrow"/>
      <family val="2"/>
    </font>
    <font>
      <sz val="10"/>
      <color indexed="9"/>
      <name val="Arial Narrow"/>
      <family val="2"/>
    </font>
    <font>
      <sz val="7"/>
      <name val="Arial Narrow"/>
      <family val="2"/>
    </font>
    <font>
      <sz val="8"/>
      <color indexed="81"/>
      <name val="Tahoma"/>
      <family val="2"/>
    </font>
    <font>
      <b/>
      <sz val="8"/>
      <color indexed="12"/>
      <name val="Arial Narrow"/>
      <family val="2"/>
    </font>
    <font>
      <sz val="8"/>
      <color indexed="14"/>
      <name val="Arial Narrow"/>
      <family val="2"/>
    </font>
    <font>
      <b/>
      <sz val="8"/>
      <color indexed="81"/>
      <name val="Tahoma"/>
      <family val="2"/>
    </font>
    <font>
      <i/>
      <u/>
      <sz val="10"/>
      <name val="Arial"/>
      <family val="2"/>
    </font>
    <font>
      <sz val="6"/>
      <name val="Arial Narrow"/>
      <family val="2"/>
    </font>
    <font>
      <i/>
      <sz val="8"/>
      <name val="Arial Narrow"/>
      <family val="2"/>
    </font>
    <font>
      <sz val="8"/>
      <color indexed="17"/>
      <name val="Arial Narrow"/>
      <family val="2"/>
    </font>
    <font>
      <b/>
      <sz val="7"/>
      <name val="Arial Narrow"/>
      <family val="2"/>
    </font>
    <font>
      <sz val="8"/>
      <color indexed="60"/>
      <name val="Arial Narrow"/>
      <family val="2"/>
    </font>
    <font>
      <sz val="8"/>
      <color indexed="14"/>
      <name val="Arial"/>
      <family val="2"/>
    </font>
    <font>
      <sz val="7"/>
      <color indexed="12"/>
      <name val="Arial Narrow"/>
      <family val="2"/>
    </font>
    <font>
      <b/>
      <sz val="10"/>
      <color indexed="18"/>
      <name val="Arial"/>
      <family val="2"/>
    </font>
    <font>
      <b/>
      <sz val="10"/>
      <color indexed="18"/>
      <name val="Arial Narrow"/>
      <family val="2"/>
    </font>
    <font>
      <b/>
      <sz val="8"/>
      <color indexed="81"/>
      <name val="Arial Narrow"/>
      <family val="2"/>
    </font>
    <font>
      <sz val="8"/>
      <color indexed="81"/>
      <name val="Arial Narrow"/>
      <family val="2"/>
    </font>
    <font>
      <b/>
      <i/>
      <sz val="10"/>
      <color indexed="12"/>
      <name val="Arial"/>
      <family val="2"/>
    </font>
    <font>
      <b/>
      <sz val="10"/>
      <color indexed="8"/>
      <name val="Arial Narrow"/>
      <family val="2"/>
    </font>
    <font>
      <sz val="9"/>
      <color indexed="17"/>
      <name val="Arial Narrow"/>
      <family val="2"/>
    </font>
    <font>
      <sz val="9"/>
      <color indexed="58"/>
      <name val="Arial Narrow"/>
      <family val="2"/>
    </font>
    <font>
      <u/>
      <sz val="9"/>
      <color indexed="58"/>
      <name val="Arial Narrow"/>
      <family val="2"/>
    </font>
    <font>
      <sz val="9"/>
      <color indexed="11"/>
      <name val="Arial Narrow"/>
      <family val="2"/>
    </font>
    <font>
      <b/>
      <u/>
      <sz val="10"/>
      <color indexed="10"/>
      <name val="Arial"/>
      <family val="2"/>
    </font>
    <font>
      <sz val="10"/>
      <color indexed="10"/>
      <name val="MS Sans Serif"/>
      <family val="2"/>
    </font>
    <font>
      <u/>
      <sz val="9"/>
      <name val="Arial"/>
      <family val="2"/>
    </font>
    <font>
      <sz val="9"/>
      <name val="MS Sans Serif"/>
      <family val="2"/>
    </font>
    <font>
      <sz val="9"/>
      <color indexed="60"/>
      <name val="Arial"/>
      <family val="2"/>
    </font>
    <font>
      <u/>
      <sz val="10"/>
      <color indexed="12"/>
      <name val="Arial"/>
      <family val="2"/>
    </font>
    <font>
      <sz val="9"/>
      <color indexed="53"/>
      <name val="Arial"/>
      <family val="2"/>
    </font>
    <font>
      <b/>
      <sz val="9"/>
      <color indexed="58"/>
      <name val="Arial"/>
      <family val="2"/>
    </font>
    <font>
      <i/>
      <sz val="9"/>
      <color indexed="20"/>
      <name val="Arial"/>
      <family val="2"/>
    </font>
    <font>
      <i/>
      <sz val="8"/>
      <color indexed="20"/>
      <name val="Arial"/>
      <family val="2"/>
    </font>
    <font>
      <sz val="9"/>
      <color indexed="20"/>
      <name val="Arial"/>
      <family val="2"/>
    </font>
    <font>
      <sz val="10"/>
      <color indexed="61"/>
      <name val="Arial"/>
      <family val="2"/>
    </font>
    <font>
      <sz val="10"/>
      <color indexed="61"/>
      <name val="Arial Narrow"/>
      <family val="2"/>
    </font>
    <font>
      <b/>
      <sz val="9"/>
      <color indexed="10"/>
      <name val="Arial Narrow"/>
      <family val="2"/>
    </font>
    <font>
      <b/>
      <sz val="9"/>
      <color indexed="58"/>
      <name val="Arial Narrow"/>
      <family val="2"/>
    </font>
    <font>
      <b/>
      <sz val="9"/>
      <color indexed="17"/>
      <name val="Arial Narrow"/>
      <family val="2"/>
    </font>
    <font>
      <b/>
      <u/>
      <sz val="10"/>
      <color indexed="14"/>
      <name val="Arial"/>
      <family val="2"/>
    </font>
    <font>
      <b/>
      <sz val="9"/>
      <color indexed="21"/>
      <name val="Arial Narrow"/>
      <family val="2"/>
    </font>
    <font>
      <b/>
      <sz val="9"/>
      <color indexed="57"/>
      <name val="Arial Narrow"/>
      <family val="2"/>
    </font>
    <font>
      <sz val="10"/>
      <name val="Courier"/>
      <family val="3"/>
    </font>
    <font>
      <b/>
      <sz val="12"/>
      <color indexed="62"/>
      <name val="Arial"/>
      <family val="2"/>
    </font>
    <font>
      <b/>
      <sz val="10"/>
      <color indexed="62"/>
      <name val="Arial"/>
      <family val="2"/>
    </font>
    <font>
      <b/>
      <sz val="12"/>
      <name val="Arial Narrow"/>
      <family val="2"/>
    </font>
    <font>
      <sz val="10"/>
      <color indexed="81"/>
      <name val="Tahoma"/>
      <family val="2"/>
    </font>
    <font>
      <b/>
      <sz val="10"/>
      <color indexed="81"/>
      <name val="Tahoma"/>
      <family val="2"/>
    </font>
    <font>
      <b/>
      <sz val="9"/>
      <color indexed="60"/>
      <name val="Arial"/>
      <family val="2"/>
    </font>
    <font>
      <b/>
      <u/>
      <sz val="10"/>
      <name val="Arial"/>
      <family val="2"/>
    </font>
    <font>
      <b/>
      <u/>
      <sz val="9"/>
      <color indexed="58"/>
      <name val="Arial Narrow"/>
      <family val="2"/>
    </font>
    <font>
      <sz val="8"/>
      <color indexed="10"/>
      <name val="Arial Narrow"/>
      <family val="2"/>
    </font>
    <font>
      <sz val="9"/>
      <color indexed="14"/>
      <name val="Arial Narrow"/>
      <family val="2"/>
    </font>
    <font>
      <b/>
      <sz val="11"/>
      <name val="Arial Narrow"/>
      <family val="2"/>
    </font>
    <font>
      <b/>
      <sz val="8"/>
      <color indexed="62"/>
      <name val="Arial"/>
      <family val="2"/>
    </font>
    <font>
      <u/>
      <sz val="10"/>
      <color indexed="8"/>
      <name val="Arial Narrow"/>
      <family val="2"/>
    </font>
    <font>
      <sz val="9"/>
      <color indexed="8"/>
      <name val="Arial Narrow"/>
      <family val="2"/>
    </font>
    <font>
      <sz val="8"/>
      <color indexed="53"/>
      <name val="Arial"/>
      <family val="2"/>
    </font>
    <font>
      <b/>
      <u/>
      <sz val="8"/>
      <color indexed="62"/>
      <name val="Arial"/>
      <family val="2"/>
    </font>
    <font>
      <sz val="8"/>
      <color indexed="12"/>
      <name val="Arial Narrow"/>
      <family val="2"/>
    </font>
    <font>
      <b/>
      <sz val="8"/>
      <color indexed="10"/>
      <name val="Arial"/>
      <family val="2"/>
    </font>
    <font>
      <b/>
      <sz val="10"/>
      <color indexed="17"/>
      <name val="Arial"/>
      <family val="2"/>
    </font>
    <font>
      <b/>
      <sz val="10"/>
      <color indexed="14"/>
      <name val="Arial"/>
      <family val="2"/>
    </font>
    <font>
      <sz val="10"/>
      <color indexed="45"/>
      <name val="Arial"/>
      <family val="2"/>
    </font>
    <font>
      <sz val="10"/>
      <color indexed="45"/>
      <name val="Arial Narrow"/>
      <family val="2"/>
    </font>
    <font>
      <sz val="8"/>
      <color indexed="14"/>
      <name val="Arial"/>
      <family val="2"/>
    </font>
    <font>
      <sz val="9"/>
      <color indexed="14"/>
      <name val="Arial"/>
      <family val="2"/>
    </font>
    <font>
      <sz val="10"/>
      <color indexed="14"/>
      <name val="Arial Narrow"/>
      <family val="2"/>
    </font>
    <font>
      <sz val="8"/>
      <color indexed="14"/>
      <name val="Arial Narrow"/>
      <family val="2"/>
    </font>
    <font>
      <sz val="9"/>
      <color indexed="14"/>
      <name val="Arial Narrow"/>
      <family val="2"/>
    </font>
    <font>
      <sz val="8"/>
      <color indexed="12"/>
      <name val="Arial"/>
      <family val="2"/>
    </font>
    <font>
      <sz val="9"/>
      <color indexed="12"/>
      <name val="Arial"/>
      <family val="2"/>
    </font>
    <font>
      <sz val="9"/>
      <color indexed="12"/>
      <name val="Arial Narrow"/>
      <family val="2"/>
    </font>
    <font>
      <sz val="9"/>
      <color indexed="10"/>
      <name val="Arial Narrow"/>
      <family val="2"/>
    </font>
    <font>
      <b/>
      <sz val="9"/>
      <color indexed="12"/>
      <name val="Arial"/>
      <family val="2"/>
    </font>
    <font>
      <b/>
      <sz val="9"/>
      <color indexed="14"/>
      <name val="Arial"/>
      <family val="2"/>
    </font>
    <font>
      <sz val="9"/>
      <color indexed="10"/>
      <name val="Arial"/>
      <family val="2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8"/>
      <color indexed="14"/>
      <name val="Arial"/>
      <family val="2"/>
    </font>
    <font>
      <sz val="8"/>
      <color indexed="17"/>
      <name val="Arial Narrow"/>
      <family val="2"/>
    </font>
    <font>
      <sz val="8"/>
      <color indexed="60"/>
      <name val="Arial Narrow"/>
      <family val="2"/>
    </font>
    <font>
      <sz val="8"/>
      <color indexed="10"/>
      <name val="Arial"/>
      <family val="2"/>
    </font>
    <font>
      <b/>
      <sz val="10"/>
      <color indexed="63"/>
      <name val="Arial"/>
      <family val="2"/>
    </font>
    <font>
      <sz val="10"/>
      <color indexed="36"/>
      <name val="Arial"/>
      <family val="2"/>
    </font>
    <font>
      <sz val="8"/>
      <color indexed="14"/>
      <name val="Arial Narrow"/>
      <family val="2"/>
    </font>
    <font>
      <b/>
      <sz val="8"/>
      <color indexed="12"/>
      <name val="Arial Narrow"/>
      <family val="2"/>
    </font>
    <font>
      <b/>
      <sz val="10"/>
      <color indexed="60"/>
      <name val="Arial"/>
      <family val="2"/>
    </font>
    <font>
      <b/>
      <i/>
      <sz val="10"/>
      <color indexed="12"/>
      <name val="Arial"/>
      <family val="2"/>
    </font>
    <font>
      <b/>
      <sz val="8"/>
      <color indexed="17"/>
      <name val="Arial"/>
      <family val="2"/>
    </font>
    <font>
      <sz val="8"/>
      <color indexed="14"/>
      <name val="Arial Narrow"/>
      <family val="2"/>
    </font>
    <font>
      <sz val="10"/>
      <color indexed="40"/>
      <name val="Arial"/>
      <family val="2"/>
    </font>
    <font>
      <sz val="8"/>
      <color indexed="40"/>
      <name val="Arial"/>
      <family val="2"/>
    </font>
    <font>
      <sz val="8"/>
      <color indexed="17"/>
      <name val="Arial"/>
      <family val="2"/>
    </font>
    <font>
      <sz val="8"/>
      <color indexed="56"/>
      <name val="Arial Narrow"/>
      <family val="2"/>
    </font>
    <font>
      <i/>
      <sz val="8"/>
      <color indexed="17"/>
      <name val="Arial"/>
      <family val="2"/>
    </font>
    <font>
      <i/>
      <sz val="8"/>
      <color indexed="14"/>
      <name val="Arial Narrow"/>
      <family val="2"/>
    </font>
    <font>
      <i/>
      <sz val="8"/>
      <color indexed="14"/>
      <name val="Arial"/>
      <family val="2"/>
    </font>
    <font>
      <b/>
      <i/>
      <sz val="8"/>
      <color indexed="14"/>
      <name val="Arial"/>
      <family val="2"/>
    </font>
    <font>
      <b/>
      <sz val="8"/>
      <color indexed="62"/>
      <name val="Arial Narrow"/>
      <family val="2"/>
    </font>
    <font>
      <b/>
      <sz val="8"/>
      <color indexed="62"/>
      <name val="Arial"/>
      <family val="2"/>
    </font>
    <font>
      <b/>
      <i/>
      <sz val="8"/>
      <color indexed="17"/>
      <name val="Arial"/>
      <family val="2"/>
    </font>
    <font>
      <sz val="8"/>
      <color indexed="56"/>
      <name val="Arial"/>
      <family val="2"/>
    </font>
    <font>
      <b/>
      <sz val="8"/>
      <color indexed="56"/>
      <name val="Arial"/>
      <family val="2"/>
    </font>
    <font>
      <sz val="10"/>
      <color indexed="14"/>
      <name val="Arial"/>
      <family val="2"/>
    </font>
    <font>
      <sz val="10"/>
      <color indexed="14"/>
      <name val="Arial Narrow"/>
      <family val="2"/>
    </font>
    <font>
      <sz val="9"/>
      <color indexed="14"/>
      <name val="Arial Narrow"/>
      <family val="2"/>
    </font>
    <font>
      <sz val="8"/>
      <color indexed="10"/>
      <name val="Arial"/>
      <family val="2"/>
    </font>
    <font>
      <sz val="9"/>
      <color indexed="8"/>
      <name val="Arial"/>
      <family val="2"/>
    </font>
    <font>
      <sz val="8"/>
      <name val="MS Sans Serif"/>
      <family val="2"/>
    </font>
    <font>
      <b/>
      <sz val="7"/>
      <color indexed="10"/>
      <name val="Arial"/>
      <family val="2"/>
    </font>
    <font>
      <sz val="7"/>
      <color indexed="12"/>
      <name val="Arial"/>
      <family val="2"/>
    </font>
    <font>
      <sz val="7"/>
      <color indexed="9"/>
      <name val="Arial"/>
      <family val="2"/>
    </font>
    <font>
      <b/>
      <sz val="10"/>
      <color rgb="FFFF0000"/>
      <name val="Arial"/>
      <family val="2"/>
    </font>
    <font>
      <sz val="8"/>
      <color rgb="FFFF0000"/>
      <name val="Arial"/>
      <family val="2"/>
    </font>
    <font>
      <sz val="8"/>
      <color rgb="FF008000"/>
      <name val="Arial"/>
      <family val="2"/>
    </font>
    <font>
      <b/>
      <sz val="8"/>
      <color rgb="FF9900CC"/>
      <name val="Arial"/>
      <family val="2"/>
    </font>
    <font>
      <sz val="8"/>
      <color rgb="FF9900CC"/>
      <name val="Arial"/>
      <family val="2"/>
    </font>
    <font>
      <sz val="7"/>
      <color rgb="FF9900CC"/>
      <name val="Arial"/>
      <family val="2"/>
    </font>
    <font>
      <b/>
      <sz val="8"/>
      <color rgb="FFFF0000"/>
      <name val="Arial"/>
      <family val="2"/>
    </font>
    <font>
      <sz val="10"/>
      <color rgb="FF0000FF"/>
      <name val="Arial"/>
      <family val="2"/>
    </font>
    <font>
      <sz val="9"/>
      <color rgb="FFFF0000"/>
      <name val="Arial Narrow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 Narrow"/>
      <family val="2"/>
    </font>
    <font>
      <b/>
      <sz val="8"/>
      <color rgb="FF000000"/>
      <name val="Arial Narrow"/>
      <family val="2"/>
    </font>
    <font>
      <b/>
      <sz val="9"/>
      <color rgb="FF000000"/>
      <name val="Arial Narrow"/>
      <family val="2"/>
    </font>
    <font>
      <b/>
      <sz val="9"/>
      <color rgb="FF0000FF"/>
      <name val="Arial Narrow"/>
      <family val="2"/>
    </font>
    <font>
      <sz val="8"/>
      <color rgb="FF800080"/>
      <name val="Arial Narrow"/>
      <family val="2"/>
    </font>
    <font>
      <b/>
      <sz val="12"/>
      <color rgb="FF6600CC"/>
      <name val="Arial Narrow"/>
      <family val="2"/>
    </font>
    <font>
      <sz val="10"/>
      <color rgb="FF6600CC"/>
      <name val="Arial Narrow"/>
      <family val="2"/>
    </font>
    <font>
      <sz val="10"/>
      <color rgb="FF0000FF"/>
      <name val="Arial Narrow"/>
      <family val="2"/>
    </font>
    <font>
      <b/>
      <sz val="10"/>
      <color rgb="FF0000FF"/>
      <name val="Arial Narrow"/>
      <family val="2"/>
    </font>
    <font>
      <b/>
      <sz val="10"/>
      <color rgb="FF0000FF"/>
      <name val="Arial"/>
      <family val="2"/>
    </font>
    <font>
      <sz val="10"/>
      <color rgb="FFFF0000"/>
      <name val="Arial"/>
      <family val="2"/>
    </font>
    <font>
      <sz val="10"/>
      <color theme="0"/>
      <name val="Arial"/>
      <family val="2"/>
    </font>
    <font>
      <sz val="10"/>
      <color rgb="FFFF0000"/>
      <name val="Arial Narrow"/>
      <family val="2"/>
    </font>
    <font>
      <b/>
      <sz val="11"/>
      <color rgb="FF6600CC"/>
      <name val="Arial Narrow"/>
      <family val="2"/>
    </font>
    <font>
      <sz val="10"/>
      <color theme="0"/>
      <name val="Arial Narrow"/>
      <family val="2"/>
    </font>
    <font>
      <u/>
      <sz val="8"/>
      <color indexed="12"/>
      <name val="Arial Narrow"/>
      <family val="2"/>
    </font>
    <font>
      <b/>
      <sz val="9"/>
      <color rgb="FF0000FF"/>
      <name val="Arial"/>
      <family val="2"/>
    </font>
    <font>
      <b/>
      <sz val="8"/>
      <color rgb="FF0000FF"/>
      <name val="Arial Narrow"/>
      <family val="2"/>
    </font>
    <font>
      <sz val="8"/>
      <color rgb="FFFF00FF"/>
      <name val="Arial"/>
      <family val="2"/>
    </font>
    <font>
      <i/>
      <sz val="8"/>
      <color rgb="FFFF0000"/>
      <name val="Arial"/>
      <family val="2"/>
    </font>
    <font>
      <sz val="9"/>
      <color rgb="FF9900FF"/>
      <name val="Arial Narrow"/>
      <family val="2"/>
    </font>
    <font>
      <b/>
      <sz val="9"/>
      <color rgb="FF9900FF"/>
      <name val="Arial Narrow"/>
      <family val="2"/>
    </font>
    <font>
      <b/>
      <u/>
      <sz val="9"/>
      <color rgb="FF9900FF"/>
      <name val="Arial Narrow"/>
      <family val="2"/>
    </font>
    <font>
      <sz val="9"/>
      <color rgb="FF9966FF"/>
      <name val="Arial Narrow"/>
      <family val="2"/>
    </font>
    <font>
      <b/>
      <sz val="9"/>
      <color rgb="FF9966FF"/>
      <name val="Arial Narrow"/>
      <family val="2"/>
    </font>
    <font>
      <b/>
      <sz val="9"/>
      <color indexed="81"/>
      <name val="Arial Narrow"/>
      <family val="2"/>
    </font>
    <font>
      <u/>
      <sz val="10"/>
      <color indexed="12"/>
      <name val="Arial Narrow"/>
      <family val="2"/>
    </font>
    <font>
      <sz val="8"/>
      <color rgb="FF0000FF"/>
      <name val="Arial Narrow"/>
      <family val="2"/>
    </font>
    <font>
      <i/>
      <sz val="10"/>
      <color rgb="FFFF66FF"/>
      <name val="Arial"/>
      <family val="2"/>
    </font>
    <font>
      <sz val="8"/>
      <color rgb="FFFF0000"/>
      <name val="Arial Narrow"/>
      <family val="2"/>
    </font>
    <font>
      <sz val="8"/>
      <color rgb="FF996633"/>
      <name val="Arial"/>
      <family val="2"/>
    </font>
    <font>
      <sz val="8"/>
      <color rgb="FFFF3300"/>
      <name val="Arial"/>
      <family val="2"/>
    </font>
    <font>
      <i/>
      <sz val="8"/>
      <color rgb="FFFF3300"/>
      <name val="Arial"/>
      <family val="2"/>
    </font>
    <font>
      <b/>
      <i/>
      <sz val="9"/>
      <color indexed="81"/>
      <name val="Arial Narrow"/>
      <family val="2"/>
    </font>
    <font>
      <b/>
      <i/>
      <sz val="8"/>
      <color indexed="81"/>
      <name val="Arial Narrow"/>
      <family val="2"/>
    </font>
    <font>
      <sz val="10"/>
      <color rgb="FFCC00FF"/>
      <name val="Arial Narrow"/>
      <family val="2"/>
    </font>
    <font>
      <b/>
      <sz val="11"/>
      <color indexed="81"/>
      <name val="Arial Narrow"/>
      <family val="2"/>
    </font>
    <font>
      <sz val="11"/>
      <color indexed="81"/>
      <name val="Arial Narrow"/>
      <family val="2"/>
    </font>
    <font>
      <sz val="7"/>
      <color rgb="FF0000FF"/>
      <name val="Arial Narrow"/>
      <family val="2"/>
    </font>
    <font>
      <i/>
      <sz val="8"/>
      <color rgb="FFFF00FF"/>
      <name val="Arial"/>
      <family val="2"/>
    </font>
    <font>
      <sz val="10"/>
      <color indexed="62"/>
      <name val="Arial Narrow"/>
      <family val="2"/>
    </font>
    <font>
      <u/>
      <sz val="8"/>
      <name val="Arial Narrow"/>
      <family val="2"/>
    </font>
    <font>
      <sz val="8"/>
      <color rgb="FF800000"/>
      <name val="Arial Narrow"/>
      <family val="2"/>
    </font>
    <font>
      <b/>
      <sz val="8"/>
      <color indexed="16"/>
      <name val="Arial Narrow"/>
      <family val="2"/>
    </font>
    <font>
      <u/>
      <sz val="8"/>
      <color indexed="81"/>
      <name val="Arial Narrow"/>
      <family val="2"/>
    </font>
    <font>
      <b/>
      <u/>
      <sz val="9"/>
      <color indexed="81"/>
      <name val="Arial Narrow"/>
      <family val="2"/>
    </font>
    <font>
      <i/>
      <sz val="9"/>
      <color indexed="12"/>
      <name val="Arial Narrow"/>
      <family val="2"/>
    </font>
    <font>
      <u/>
      <sz val="9"/>
      <color indexed="81"/>
      <name val="Arial Narrow"/>
      <family val="2"/>
    </font>
    <font>
      <b/>
      <sz val="8"/>
      <color rgb="FFFF0000"/>
      <name val="Arial Narrow"/>
      <family val="2"/>
    </font>
    <font>
      <b/>
      <sz val="9"/>
      <color rgb="FFFF0000"/>
      <name val="Arial Narrow"/>
      <family val="2"/>
    </font>
    <font>
      <sz val="9"/>
      <color rgb="FFFF0000"/>
      <name val="Arial"/>
      <family val="2"/>
    </font>
    <font>
      <i/>
      <u/>
      <sz val="10"/>
      <color indexed="12"/>
      <name val="Arial Narrow"/>
      <family val="2"/>
    </font>
    <font>
      <sz val="8"/>
      <color rgb="FF0000FF"/>
      <name val="Arial"/>
      <family val="2"/>
    </font>
    <font>
      <sz val="8"/>
      <name val="Arial "/>
    </font>
    <font>
      <b/>
      <sz val="10"/>
      <color rgb="FFCC00FF"/>
      <name val="Arial"/>
      <family val="2"/>
    </font>
    <font>
      <b/>
      <sz val="10"/>
      <color rgb="FFCC00FF"/>
      <name val="Arial Narrow"/>
      <family val="2"/>
    </font>
    <font>
      <sz val="9"/>
      <color rgb="FF0000FF"/>
      <name val="Arial Narrow"/>
      <family val="2"/>
    </font>
    <font>
      <sz val="3"/>
      <color indexed="81"/>
      <name val="Arial Narrow"/>
      <family val="2"/>
    </font>
    <font>
      <sz val="8"/>
      <color theme="0"/>
      <name val="Arial"/>
      <family val="2"/>
    </font>
    <font>
      <b/>
      <sz val="7"/>
      <color rgb="FFFF6600"/>
      <name val="Arial Narrow"/>
      <family val="2"/>
    </font>
    <font>
      <sz val="7"/>
      <color rgb="FFFF00FF"/>
      <name val="Arial Narrow"/>
      <family val="2"/>
    </font>
    <font>
      <b/>
      <i/>
      <sz val="8.5"/>
      <name val="Arial Narrow"/>
      <family val="2"/>
    </font>
    <font>
      <i/>
      <sz val="8"/>
      <color theme="1" tint="0.34998626667073579"/>
      <name val="Arial"/>
      <family val="2"/>
    </font>
    <font>
      <sz val="9"/>
      <color theme="1" tint="0.499984740745262"/>
      <name val="Arial"/>
      <family val="2"/>
    </font>
    <font>
      <sz val="9"/>
      <color rgb="FF6600FF"/>
      <name val="Arial"/>
      <family val="2"/>
    </font>
    <font>
      <b/>
      <i/>
      <sz val="10"/>
      <color indexed="12"/>
      <name val="Arial Narrow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0"/>
      <name val="Calibri"/>
      <family val="2"/>
    </font>
    <font>
      <sz val="6"/>
      <color indexed="81"/>
      <name val="Arial Narrow"/>
      <family val="2"/>
    </font>
    <font>
      <sz val="8"/>
      <color indexed="33"/>
      <name val="Arial Narrow"/>
      <family val="2"/>
    </font>
    <font>
      <sz val="9"/>
      <color indexed="33"/>
      <name val="Arial Narrow"/>
      <family val="2"/>
    </font>
    <font>
      <b/>
      <sz val="7"/>
      <color rgb="FF0000FF"/>
      <name val="Arial Narrow"/>
      <family val="2"/>
    </font>
    <font>
      <sz val="9"/>
      <color rgb="FF993300"/>
      <name val="Arial Narrow"/>
      <family val="2"/>
    </font>
    <font>
      <sz val="9"/>
      <color rgb="FFFF00FF"/>
      <name val="Arial"/>
      <family val="2"/>
    </font>
    <font>
      <sz val="9"/>
      <color rgb="FFFF6600"/>
      <name val="Arial"/>
      <family val="2"/>
    </font>
    <font>
      <i/>
      <sz val="8"/>
      <color indexed="12"/>
      <name val="Arial Narrow"/>
      <family val="2"/>
    </font>
    <font>
      <sz val="8"/>
      <color rgb="FFFF6600"/>
      <name val="Arial Narrow"/>
      <family val="2"/>
    </font>
    <font>
      <sz val="8"/>
      <color rgb="FFFF00FF"/>
      <name val="Arial Narrow"/>
      <family val="2"/>
    </font>
    <font>
      <b/>
      <sz val="8"/>
      <color rgb="FF993300"/>
      <name val="Arial Narrow"/>
      <family val="2"/>
    </font>
    <font>
      <b/>
      <sz val="8"/>
      <color rgb="FF800080"/>
      <name val="Arial Narrow"/>
      <family val="2"/>
    </font>
    <font>
      <b/>
      <sz val="12"/>
      <color rgb="FFFF0000"/>
      <name val="Arial Narrow"/>
      <family val="2"/>
    </font>
    <font>
      <b/>
      <sz val="10"/>
      <color indexed="10"/>
      <name val="Arial Narrow"/>
      <family val="2"/>
    </font>
    <font>
      <b/>
      <sz val="8"/>
      <color rgb="FF9900CC"/>
      <name val="Arial Narrow"/>
      <family val="2"/>
    </font>
    <font>
      <i/>
      <sz val="8"/>
      <color rgb="FFFF0000"/>
      <name val="Arial Narrow"/>
      <family val="2"/>
    </font>
    <font>
      <i/>
      <sz val="10"/>
      <color rgb="FFFF0000"/>
      <name val="Arial"/>
      <family val="2"/>
    </font>
    <font>
      <b/>
      <i/>
      <sz val="9"/>
      <color rgb="FF009900"/>
      <name val="Arial"/>
      <family val="2"/>
    </font>
    <font>
      <b/>
      <sz val="9"/>
      <color rgb="FF009900"/>
      <name val="Arial Narrow"/>
      <family val="2"/>
    </font>
    <font>
      <sz val="9"/>
      <color indexed="60"/>
      <name val="Arial Narrow"/>
      <family val="2"/>
    </font>
    <font>
      <sz val="10"/>
      <color rgb="FF009900"/>
      <name val="Arial"/>
      <family val="2"/>
    </font>
    <font>
      <b/>
      <sz val="10"/>
      <color rgb="FF009900"/>
      <name val="Arial"/>
      <family val="2"/>
    </font>
    <font>
      <sz val="9"/>
      <color rgb="FF009900"/>
      <name val="Arial"/>
      <family val="2"/>
    </font>
    <font>
      <sz val="9"/>
      <color rgb="FF009900"/>
      <name val="Arial Narrow"/>
      <family val="2"/>
    </font>
    <font>
      <vertAlign val="subscript"/>
      <sz val="8"/>
      <name val="Arial Narrow"/>
      <family val="2"/>
    </font>
    <font>
      <u/>
      <sz val="8"/>
      <color indexed="58"/>
      <name val="Arial Narrow"/>
      <family val="2"/>
    </font>
    <font>
      <i/>
      <sz val="8"/>
      <color rgb="FF0000FF"/>
      <name val="Arial Narrow"/>
      <family val="2"/>
    </font>
    <font>
      <i/>
      <sz val="8"/>
      <color rgb="FF9900FF"/>
      <name val="Arial"/>
      <family val="2"/>
    </font>
    <font>
      <i/>
      <sz val="8"/>
      <color rgb="FF9900FF"/>
      <name val="Arial Narrow"/>
      <family val="2"/>
    </font>
    <font>
      <b/>
      <sz val="10"/>
      <color rgb="FFFF0000"/>
      <name val="Arial Narrow"/>
      <family val="2"/>
    </font>
    <font>
      <b/>
      <u/>
      <sz val="9"/>
      <color rgb="FFFF0000"/>
      <name val="Arial Narrow"/>
      <family val="2"/>
    </font>
    <font>
      <sz val="8"/>
      <color theme="0"/>
      <name val="Arial Narrow"/>
      <family val="2"/>
    </font>
    <font>
      <sz val="10"/>
      <color rgb="FF800000"/>
      <name val="Arial"/>
      <family val="2"/>
    </font>
    <font>
      <sz val="8"/>
      <color rgb="FF800000"/>
      <name val="Arial"/>
      <family val="2"/>
    </font>
    <font>
      <b/>
      <u/>
      <sz val="10"/>
      <color rgb="FF993300"/>
      <name val="Arial"/>
      <family val="2"/>
    </font>
    <font>
      <b/>
      <i/>
      <sz val="8"/>
      <name val="Arial Narrow"/>
      <family val="2"/>
    </font>
    <font>
      <i/>
      <sz val="7"/>
      <name val="Arial"/>
      <family val="2"/>
    </font>
    <font>
      <vertAlign val="superscript"/>
      <sz val="7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49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0AA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0000"/>
        <bgColor indexed="64"/>
      </patternFill>
    </fill>
  </fills>
  <borders count="28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dotted">
        <color indexed="12"/>
      </top>
      <bottom style="dotted">
        <color indexed="1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12"/>
      </top>
      <bottom style="hair">
        <color indexed="1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12"/>
      </left>
      <right/>
      <top style="hair">
        <color indexed="12"/>
      </top>
      <bottom style="hair">
        <color indexed="12"/>
      </bottom>
      <diagonal/>
    </border>
    <border>
      <left style="hair">
        <color indexed="64"/>
      </left>
      <right/>
      <top/>
      <bottom/>
      <diagonal/>
    </border>
    <border>
      <left/>
      <right style="dotted">
        <color indexed="12"/>
      </right>
      <top style="dotted">
        <color indexed="12"/>
      </top>
      <bottom style="dotted">
        <color indexed="12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12"/>
      </left>
      <right style="dotted">
        <color indexed="12"/>
      </right>
      <top style="dotted">
        <color indexed="12"/>
      </top>
      <bottom style="dotted">
        <color indexed="12"/>
      </bottom>
      <diagonal/>
    </border>
    <border>
      <left style="dotted">
        <color indexed="12"/>
      </left>
      <right/>
      <top style="dotted">
        <color indexed="12"/>
      </top>
      <bottom style="dotted">
        <color indexed="12"/>
      </bottom>
      <diagonal/>
    </border>
    <border>
      <left style="double">
        <color indexed="12"/>
      </left>
      <right/>
      <top style="dotted">
        <color indexed="12"/>
      </top>
      <bottom style="dotted">
        <color indexed="12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hair">
        <color indexed="12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12"/>
      </top>
      <bottom/>
      <diagonal/>
    </border>
    <border>
      <left/>
      <right style="medium">
        <color indexed="12"/>
      </right>
      <top/>
      <bottom/>
      <diagonal/>
    </border>
    <border>
      <left style="medium">
        <color indexed="12"/>
      </left>
      <right/>
      <top/>
      <bottom style="medium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12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12"/>
      </left>
      <right/>
      <top style="medium">
        <color indexed="12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medium">
        <color indexed="64"/>
      </left>
      <right style="thin">
        <color indexed="64"/>
      </right>
      <top/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9"/>
      </bottom>
      <diagonal/>
    </border>
    <border>
      <left style="hair">
        <color indexed="64"/>
      </left>
      <right/>
      <top style="thin">
        <color indexed="64"/>
      </top>
      <bottom style="thin">
        <color indexed="9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9"/>
      </bottom>
      <diagonal/>
    </border>
    <border>
      <left style="hair">
        <color indexed="64"/>
      </left>
      <right style="thin">
        <color indexed="64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12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10"/>
      </right>
      <top/>
      <bottom style="thin">
        <color indexed="64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 style="thick">
        <color indexed="10"/>
      </left>
      <right/>
      <top/>
      <bottom style="thin">
        <color indexed="64"/>
      </bottom>
      <diagonal/>
    </border>
    <border>
      <left style="thick">
        <color indexed="10"/>
      </left>
      <right/>
      <top style="thin">
        <color indexed="64"/>
      </top>
      <bottom style="thin">
        <color indexed="64"/>
      </bottom>
      <diagonal/>
    </border>
    <border>
      <left style="thick">
        <color indexed="10"/>
      </left>
      <right/>
      <top style="thin">
        <color indexed="64"/>
      </top>
      <bottom style="thick">
        <color indexed="10"/>
      </bottom>
      <diagonal/>
    </border>
    <border>
      <left style="thick">
        <color indexed="10"/>
      </left>
      <right/>
      <top/>
      <bottom style="thick">
        <color indexed="10"/>
      </bottom>
      <diagonal/>
    </border>
    <border>
      <left style="thick">
        <color indexed="10"/>
      </left>
      <right/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/>
      <right style="thick">
        <color indexed="10"/>
      </right>
      <top/>
      <bottom/>
      <diagonal/>
    </border>
    <border>
      <left style="hair">
        <color indexed="8"/>
      </left>
      <right style="thick">
        <color indexed="10"/>
      </right>
      <top/>
      <bottom style="thin">
        <color indexed="64"/>
      </bottom>
      <diagonal/>
    </border>
    <border>
      <left style="hair">
        <color indexed="8"/>
      </left>
      <right style="thick">
        <color indexed="10"/>
      </right>
      <top/>
      <bottom style="thick">
        <color indexed="10"/>
      </bottom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9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14"/>
      </left>
      <right style="thin">
        <color indexed="14"/>
      </right>
      <top/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14"/>
      </bottom>
      <diagonal/>
    </border>
    <border>
      <left/>
      <right/>
      <top/>
      <bottom style="thin">
        <color indexed="14"/>
      </bottom>
      <diagonal/>
    </border>
    <border>
      <left style="thin">
        <color indexed="14"/>
      </left>
      <right style="thin">
        <color indexed="14"/>
      </right>
      <top/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12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14"/>
      </right>
      <top style="thin">
        <color indexed="14"/>
      </top>
      <bottom/>
      <diagonal/>
    </border>
    <border>
      <left/>
      <right style="thin">
        <color indexed="14"/>
      </right>
      <top/>
      <bottom/>
      <diagonal/>
    </border>
    <border>
      <left/>
      <right/>
      <top style="thick">
        <color indexed="62"/>
      </top>
      <bottom/>
      <diagonal/>
    </border>
    <border>
      <left/>
      <right style="thick">
        <color indexed="62"/>
      </right>
      <top/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/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/>
      <diagonal/>
    </border>
    <border>
      <left style="thin">
        <color indexed="14"/>
      </left>
      <right/>
      <top/>
      <bottom/>
      <diagonal/>
    </border>
    <border>
      <left style="thin">
        <color indexed="14"/>
      </left>
      <right/>
      <top/>
      <bottom style="thin">
        <color indexed="1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ck">
        <color indexed="62"/>
      </right>
      <top/>
      <bottom style="thick">
        <color indexed="62"/>
      </bottom>
      <diagonal/>
    </border>
    <border>
      <left/>
      <right style="thin">
        <color indexed="14"/>
      </right>
      <top/>
      <bottom style="thin">
        <color indexed="14"/>
      </bottom>
      <diagonal/>
    </border>
    <border>
      <left style="thin">
        <color indexed="14"/>
      </left>
      <right/>
      <top style="thin">
        <color indexed="14"/>
      </top>
      <bottom/>
      <diagonal/>
    </border>
    <border>
      <left style="thick">
        <color indexed="10"/>
      </left>
      <right/>
      <top style="thick">
        <color indexed="10"/>
      </top>
      <bottom style="thin">
        <color indexed="64"/>
      </bottom>
      <diagonal/>
    </border>
    <border>
      <left/>
      <right style="thick">
        <color indexed="10"/>
      </right>
      <top style="thick">
        <color indexed="10"/>
      </top>
      <bottom style="thin">
        <color indexed="64"/>
      </bottom>
      <diagonal/>
    </border>
    <border>
      <left/>
      <right style="medium">
        <color indexed="12"/>
      </right>
      <top style="medium">
        <color indexed="12"/>
      </top>
      <bottom/>
      <diagonal/>
    </border>
    <border>
      <left/>
      <right/>
      <top/>
      <bottom style="thick">
        <color rgb="FF009900"/>
      </bottom>
      <diagonal/>
    </border>
    <border>
      <left style="thick">
        <color rgb="FF009900"/>
      </left>
      <right style="thin">
        <color indexed="64"/>
      </right>
      <top style="thick">
        <color rgb="FF009900"/>
      </top>
      <bottom/>
      <diagonal/>
    </border>
    <border>
      <left style="thin">
        <color indexed="64"/>
      </left>
      <right style="thick">
        <color rgb="FF009900"/>
      </right>
      <top style="thick">
        <color rgb="FF009900"/>
      </top>
      <bottom/>
      <diagonal/>
    </border>
    <border>
      <left style="thick">
        <color rgb="FF0099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009900"/>
      </right>
      <top style="thin">
        <color indexed="64"/>
      </top>
      <bottom/>
      <diagonal/>
    </border>
    <border>
      <left style="thick">
        <color rgb="FF0099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009900"/>
      </right>
      <top/>
      <bottom/>
      <diagonal/>
    </border>
    <border>
      <left style="thick">
        <color rgb="FF009900"/>
      </left>
      <right style="thin">
        <color indexed="64"/>
      </right>
      <top/>
      <bottom/>
      <diagonal/>
    </border>
    <border>
      <left style="thin">
        <color indexed="64"/>
      </left>
      <right style="thick">
        <color rgb="FF009900"/>
      </right>
      <top/>
      <bottom style="thin">
        <color indexed="64"/>
      </bottom>
      <diagonal/>
    </border>
    <border>
      <left style="thick">
        <color rgb="FF0099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9900"/>
      </left>
      <right style="thin">
        <color indexed="64"/>
      </right>
      <top/>
      <bottom style="thick">
        <color rgb="FF009900"/>
      </bottom>
      <diagonal/>
    </border>
    <border>
      <left style="thin">
        <color indexed="64"/>
      </left>
      <right style="thick">
        <color rgb="FF009900"/>
      </right>
      <top/>
      <bottom style="thick">
        <color rgb="FF009900"/>
      </bottom>
      <diagonal/>
    </border>
    <border>
      <left/>
      <right/>
      <top/>
      <bottom style="thick">
        <color rgb="FF9966FF"/>
      </bottom>
      <diagonal/>
    </border>
    <border>
      <left style="thick">
        <color rgb="FF9966FF"/>
      </left>
      <right style="thin">
        <color indexed="64"/>
      </right>
      <top style="thick">
        <color rgb="FF9966FF"/>
      </top>
      <bottom/>
      <diagonal/>
    </border>
    <border>
      <left style="thin">
        <color indexed="64"/>
      </left>
      <right style="thick">
        <color rgb="FF9966FF"/>
      </right>
      <top style="thick">
        <color rgb="FF9966FF"/>
      </top>
      <bottom/>
      <diagonal/>
    </border>
    <border>
      <left style="thick">
        <color rgb="FF9966FF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9966FF"/>
      </right>
      <top style="thin">
        <color indexed="64"/>
      </top>
      <bottom/>
      <diagonal/>
    </border>
    <border>
      <left style="thick">
        <color rgb="FF9966FF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9966FF"/>
      </right>
      <top/>
      <bottom/>
      <diagonal/>
    </border>
    <border>
      <left style="thick">
        <color rgb="FF9966FF"/>
      </left>
      <right style="thin">
        <color indexed="64"/>
      </right>
      <top/>
      <bottom/>
      <diagonal/>
    </border>
    <border>
      <left style="thin">
        <color indexed="64"/>
      </left>
      <right style="thick">
        <color rgb="FF9966FF"/>
      </right>
      <top/>
      <bottom style="thin">
        <color indexed="64"/>
      </bottom>
      <diagonal/>
    </border>
    <border>
      <left style="thick">
        <color rgb="FF9966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9966FF"/>
      </left>
      <right style="thin">
        <color indexed="64"/>
      </right>
      <top/>
      <bottom style="thick">
        <color rgb="FF9966FF"/>
      </bottom>
      <diagonal/>
    </border>
    <border>
      <left style="thin">
        <color indexed="64"/>
      </left>
      <right style="thick">
        <color rgb="FF9966FF"/>
      </right>
      <top/>
      <bottom style="thick">
        <color rgb="FF9966FF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/>
      <bottom style="mediumDashed">
        <color rgb="FF00B050"/>
      </bottom>
      <diagonal/>
    </border>
    <border>
      <left/>
      <right/>
      <top/>
      <bottom style="mediumDashed">
        <color theme="9" tint="-0.499984740745262"/>
      </bottom>
      <diagonal/>
    </border>
    <border>
      <left style="thin">
        <color indexed="64"/>
      </left>
      <right style="medium">
        <color indexed="14"/>
      </right>
      <top style="medium">
        <color indexed="14"/>
      </top>
      <bottom/>
      <diagonal/>
    </border>
    <border>
      <left style="thin">
        <color indexed="64"/>
      </left>
      <right style="medium">
        <color indexed="14"/>
      </right>
      <top/>
      <bottom/>
      <diagonal/>
    </border>
    <border>
      <left style="thin">
        <color indexed="64"/>
      </left>
      <right style="medium">
        <color indexed="14"/>
      </right>
      <top style="thin">
        <color indexed="64"/>
      </top>
      <bottom style="medium">
        <color indexed="14"/>
      </bottom>
      <diagonal/>
    </border>
  </borders>
  <cellStyleXfs count="9">
    <xf numFmtId="0" fontId="0" fillId="0" borderId="0"/>
    <xf numFmtId="0" fontId="96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3" fillId="0" borderId="0"/>
    <xf numFmtId="0" fontId="73" fillId="0" borderId="0"/>
    <xf numFmtId="165" fontId="209" fillId="0" borderId="0"/>
    <xf numFmtId="0" fontId="11" fillId="0" borderId="0"/>
    <xf numFmtId="9" fontId="11" fillId="0" borderId="0" applyFont="0" applyFill="0" applyBorder="0" applyAlignment="0" applyProtection="0"/>
  </cellStyleXfs>
  <cellXfs count="3673">
    <xf numFmtId="0" fontId="0" fillId="0" borderId="0" xfId="0"/>
    <xf numFmtId="0" fontId="5" fillId="0" borderId="1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49" fontId="11" fillId="0" borderId="0" xfId="0" applyNumberFormat="1" applyFont="1" applyAlignment="1">
      <alignment vertical="center"/>
    </xf>
    <xf numFmtId="0" fontId="11" fillId="0" borderId="0" xfId="0" applyFont="1"/>
    <xf numFmtId="0" fontId="6" fillId="0" borderId="0" xfId="0" applyFont="1"/>
    <xf numFmtId="0" fontId="12" fillId="0" borderId="0" xfId="0" applyFont="1"/>
    <xf numFmtId="0" fontId="11" fillId="0" borderId="0" xfId="0" applyFont="1" applyAlignment="1">
      <alignment vertical="center"/>
    </xf>
    <xf numFmtId="1" fontId="9" fillId="0" borderId="3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8" fillId="0" borderId="4" xfId="0" applyFont="1" applyBorder="1" applyAlignment="1">
      <alignment vertical="center"/>
    </xf>
    <xf numFmtId="0" fontId="12" fillId="0" borderId="0" xfId="0" applyFont="1" applyAlignment="1">
      <alignment vertical="center"/>
    </xf>
    <xf numFmtId="1" fontId="6" fillId="0" borderId="0" xfId="0" applyNumberFormat="1" applyFont="1" applyAlignment="1">
      <alignment vertical="center"/>
    </xf>
    <xf numFmtId="0" fontId="6" fillId="0" borderId="0" xfId="0" applyFont="1" applyProtection="1">
      <protection locked="0"/>
    </xf>
    <xf numFmtId="0" fontId="6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Continuous" vertical="center"/>
    </xf>
    <xf numFmtId="0" fontId="12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Continuous" vertical="center"/>
    </xf>
    <xf numFmtId="0" fontId="19" fillId="0" borderId="10" xfId="0" applyFont="1" applyBorder="1" applyAlignment="1">
      <alignment vertical="center"/>
    </xf>
    <xf numFmtId="0" fontId="16" fillId="0" borderId="0" xfId="0" applyFont="1"/>
    <xf numFmtId="0" fontId="6" fillId="0" borderId="0" xfId="0" applyFont="1" applyAlignment="1">
      <alignment horizontal="center" vertical="center"/>
    </xf>
    <xf numFmtId="0" fontId="6" fillId="0" borderId="8" xfId="0" applyFont="1" applyBorder="1"/>
    <xf numFmtId="0" fontId="6" fillId="0" borderId="1" xfId="0" applyFont="1" applyBorder="1"/>
    <xf numFmtId="0" fontId="6" fillId="0" borderId="2" xfId="0" applyFont="1" applyBorder="1"/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3" xfId="0" applyFont="1" applyBorder="1" applyAlignment="1">
      <alignment horizontal="centerContinuous"/>
    </xf>
    <xf numFmtId="0" fontId="6" fillId="0" borderId="15" xfId="0" applyFont="1" applyBorder="1" applyAlignment="1">
      <alignment horizontal="centerContinuous"/>
    </xf>
    <xf numFmtId="0" fontId="6" fillId="0" borderId="0" xfId="0" applyFont="1" applyAlignment="1">
      <alignment horizontal="centerContinuous"/>
    </xf>
    <xf numFmtId="0" fontId="6" fillId="0" borderId="16" xfId="0" applyFont="1" applyBorder="1" applyAlignment="1">
      <alignment horizontal="centerContinuous"/>
    </xf>
    <xf numFmtId="0" fontId="6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1" xfId="0" applyFont="1" applyBorder="1" applyAlignment="1">
      <alignment horizontal="centerContinuous"/>
    </xf>
    <xf numFmtId="0" fontId="6" fillId="0" borderId="14" xfId="0" applyFont="1" applyBorder="1" applyAlignment="1">
      <alignment horizontal="centerContinuous"/>
    </xf>
    <xf numFmtId="0" fontId="6" fillId="0" borderId="12" xfId="0" applyFont="1" applyBorder="1" applyAlignment="1">
      <alignment horizontal="centerContinuous"/>
    </xf>
    <xf numFmtId="0" fontId="6" fillId="0" borderId="17" xfId="0" applyFont="1" applyBorder="1" applyAlignment="1">
      <alignment vertical="center"/>
    </xf>
    <xf numFmtId="168" fontId="6" fillId="0" borderId="0" xfId="0" applyNumberFormat="1" applyFont="1"/>
    <xf numFmtId="0" fontId="30" fillId="0" borderId="0" xfId="0" applyFont="1"/>
    <xf numFmtId="0" fontId="32" fillId="0" borderId="9" xfId="0" applyFont="1" applyBorder="1" applyAlignment="1">
      <alignment horizontal="center"/>
    </xf>
    <xf numFmtId="0" fontId="29" fillId="0" borderId="9" xfId="0" applyFont="1" applyBorder="1" applyAlignment="1">
      <alignment horizontal="center"/>
    </xf>
    <xf numFmtId="0" fontId="11" fillId="0" borderId="5" xfId="0" applyFont="1" applyBorder="1"/>
    <xf numFmtId="0" fontId="11" fillId="0" borderId="5" xfId="0" applyFont="1" applyBorder="1" applyAlignment="1">
      <alignment vertical="center"/>
    </xf>
    <xf numFmtId="0" fontId="11" fillId="0" borderId="17" xfId="0" applyFont="1" applyBorder="1" applyAlignment="1">
      <alignment vertical="center"/>
    </xf>
    <xf numFmtId="0" fontId="11" fillId="0" borderId="17" xfId="0" applyFont="1" applyBorder="1" applyAlignment="1">
      <alignment horizontal="centerContinuous" vertical="center"/>
    </xf>
    <xf numFmtId="0" fontId="18" fillId="0" borderId="18" xfId="0" applyFont="1" applyBorder="1" applyAlignment="1">
      <alignment vertical="center"/>
    </xf>
    <xf numFmtId="0" fontId="2" fillId="0" borderId="0" xfId="0" applyFont="1" applyAlignment="1">
      <alignment horizontal="centerContinuous" vertical="center"/>
    </xf>
    <xf numFmtId="0" fontId="18" fillId="0" borderId="0" xfId="0" applyFont="1" applyAlignment="1">
      <alignment horizontal="centerContinuous" vertical="center"/>
    </xf>
    <xf numFmtId="0" fontId="6" fillId="0" borderId="15" xfId="0" applyFont="1" applyBorder="1" applyAlignment="1">
      <alignment horizontal="center" vertical="center"/>
    </xf>
    <xf numFmtId="0" fontId="6" fillId="0" borderId="17" xfId="0" applyFont="1" applyBorder="1" applyAlignment="1">
      <alignment horizontal="right" vertical="center"/>
    </xf>
    <xf numFmtId="0" fontId="8" fillId="0" borderId="10" xfId="0" applyFont="1" applyBorder="1" applyAlignment="1">
      <alignment horizontal="center" vertical="center"/>
    </xf>
    <xf numFmtId="0" fontId="6" fillId="0" borderId="19" xfId="0" applyFont="1" applyBorder="1"/>
    <xf numFmtId="0" fontId="2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34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29" fillId="0" borderId="7" xfId="0" applyFont="1" applyBorder="1" applyAlignment="1">
      <alignment horizontal="center"/>
    </xf>
    <xf numFmtId="0" fontId="36" fillId="0" borderId="7" xfId="0" applyFont="1" applyBorder="1" applyAlignment="1">
      <alignment horizontal="center"/>
    </xf>
    <xf numFmtId="0" fontId="36" fillId="0" borderId="9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47" fillId="2" borderId="8" xfId="0" applyFont="1" applyFill="1" applyBorder="1" applyAlignment="1">
      <alignment horizontal="center" vertical="center"/>
    </xf>
    <xf numFmtId="1" fontId="47" fillId="2" borderId="8" xfId="0" applyNumberFormat="1" applyFont="1" applyFill="1" applyBorder="1" applyAlignment="1">
      <alignment horizontal="center" vertical="center"/>
    </xf>
    <xf numFmtId="0" fontId="47" fillId="2" borderId="12" xfId="0" applyFont="1" applyFill="1" applyBorder="1" applyAlignment="1">
      <alignment horizontal="center" vertical="center"/>
    </xf>
    <xf numFmtId="0" fontId="32" fillId="0" borderId="7" xfId="0" applyFont="1" applyBorder="1" applyAlignment="1">
      <alignment horizontal="left"/>
    </xf>
    <xf numFmtId="0" fontId="6" fillId="0" borderId="21" xfId="0" applyFont="1" applyBorder="1"/>
    <xf numFmtId="0" fontId="6" fillId="0" borderId="22" xfId="0" applyFont="1" applyBorder="1"/>
    <xf numFmtId="0" fontId="6" fillId="0" borderId="23" xfId="0" applyFont="1" applyBorder="1"/>
    <xf numFmtId="0" fontId="6" fillId="0" borderId="24" xfId="0" applyFont="1" applyBorder="1"/>
    <xf numFmtId="0" fontId="6" fillId="0" borderId="18" xfId="0" applyFont="1" applyBorder="1"/>
    <xf numFmtId="0" fontId="6" fillId="0" borderId="25" xfId="0" applyFont="1" applyBorder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6" fillId="0" borderId="13" xfId="0" applyFont="1" applyBorder="1" applyAlignment="1">
      <alignment horizontal="centerContinuous" vertical="top"/>
    </xf>
    <xf numFmtId="0" fontId="6" fillId="0" borderId="15" xfId="0" applyFont="1" applyBorder="1" applyAlignment="1">
      <alignment horizontal="centerContinuous" vertical="top"/>
    </xf>
    <xf numFmtId="0" fontId="18" fillId="0" borderId="26" xfId="0" applyFont="1" applyBorder="1" applyAlignment="1">
      <alignment horizontal="centerContinuous" vertical="center"/>
    </xf>
    <xf numFmtId="0" fontId="2" fillId="0" borderId="27" xfId="0" applyFont="1" applyBorder="1" applyAlignment="1">
      <alignment horizontal="centerContinuous" vertical="center"/>
    </xf>
    <xf numFmtId="0" fontId="2" fillId="0" borderId="18" xfId="0" applyFont="1" applyBorder="1" applyAlignment="1">
      <alignment horizontal="centerContinuous" vertical="center"/>
    </xf>
    <xf numFmtId="0" fontId="18" fillId="0" borderId="18" xfId="0" applyFont="1" applyBorder="1" applyAlignment="1">
      <alignment horizontal="centerContinuous" vertical="center"/>
    </xf>
    <xf numFmtId="0" fontId="18" fillId="0" borderId="25" xfId="0" applyFont="1" applyBorder="1" applyAlignment="1">
      <alignment horizontal="centerContinuous" vertical="center"/>
    </xf>
    <xf numFmtId="0" fontId="18" fillId="0" borderId="22" xfId="0" applyFont="1" applyBorder="1" applyAlignment="1">
      <alignment horizontal="centerContinuous" vertical="center"/>
    </xf>
    <xf numFmtId="0" fontId="2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3" borderId="30" xfId="0" applyFont="1" applyFill="1" applyBorder="1"/>
    <xf numFmtId="0" fontId="2" fillId="0" borderId="0" xfId="0" applyFont="1"/>
    <xf numFmtId="0" fontId="12" fillId="0" borderId="1" xfId="0" applyFont="1" applyBorder="1" applyAlignment="1">
      <alignment horizontal="center"/>
    </xf>
    <xf numFmtId="0" fontId="11" fillId="0" borderId="15" xfId="0" applyFont="1" applyBorder="1"/>
    <xf numFmtId="0" fontId="6" fillId="3" borderId="12" xfId="0" applyFont="1" applyFill="1" applyBorder="1"/>
    <xf numFmtId="0" fontId="12" fillId="0" borderId="1" xfId="0" applyFont="1" applyBorder="1" applyAlignment="1">
      <alignment horizontal="centerContinuous" vertical="center"/>
    </xf>
    <xf numFmtId="0" fontId="12" fillId="0" borderId="13" xfId="0" applyFont="1" applyBorder="1" applyAlignment="1">
      <alignment horizontal="centerContinuous" vertical="center"/>
    </xf>
    <xf numFmtId="0" fontId="6" fillId="0" borderId="5" xfId="0" applyFont="1" applyBorder="1" applyAlignment="1">
      <alignment horizontal="left" vertical="center"/>
    </xf>
    <xf numFmtId="168" fontId="2" fillId="0" borderId="4" xfId="0" applyNumberFormat="1" applyFont="1" applyBorder="1" applyAlignment="1">
      <alignment vertical="center"/>
    </xf>
    <xf numFmtId="0" fontId="6" fillId="3" borderId="31" xfId="0" applyFont="1" applyFill="1" applyBorder="1" applyProtection="1">
      <protection locked="0"/>
    </xf>
    <xf numFmtId="0" fontId="6" fillId="3" borderId="11" xfId="0" applyFont="1" applyFill="1" applyBorder="1" applyProtection="1">
      <protection locked="0"/>
    </xf>
    <xf numFmtId="0" fontId="6" fillId="0" borderId="0" xfId="0" applyFont="1" applyAlignment="1" applyProtection="1">
      <alignment vertical="center"/>
      <protection locked="0"/>
    </xf>
    <xf numFmtId="0" fontId="11" fillId="0" borderId="0" xfId="0" applyFont="1" applyAlignment="1">
      <alignment horizontal="right"/>
    </xf>
    <xf numFmtId="168" fontId="10" fillId="0" borderId="0" xfId="0" applyNumberFormat="1" applyFont="1"/>
    <xf numFmtId="0" fontId="6" fillId="0" borderId="0" xfId="0" applyFont="1" applyAlignment="1">
      <alignment horizontal="right"/>
    </xf>
    <xf numFmtId="168" fontId="6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 vertical="center"/>
    </xf>
    <xf numFmtId="48" fontId="16" fillId="0" borderId="0" xfId="0" applyNumberFormat="1" applyFont="1" applyAlignment="1">
      <alignment horizontal="center" vertical="center"/>
    </xf>
    <xf numFmtId="169" fontId="6" fillId="0" borderId="0" xfId="0" applyNumberFormat="1" applyFont="1" applyProtection="1">
      <protection hidden="1"/>
    </xf>
    <xf numFmtId="0" fontId="6" fillId="0" borderId="7" xfId="0" applyFont="1" applyBorder="1" applyAlignment="1">
      <alignment horizontal="center" vertical="center"/>
    </xf>
    <xf numFmtId="0" fontId="6" fillId="0" borderId="15" xfId="0" applyFont="1" applyBorder="1" applyAlignment="1">
      <alignment horizontal="centerContinuous" vertical="center"/>
    </xf>
    <xf numFmtId="1" fontId="12" fillId="0" borderId="1" xfId="0" applyNumberFormat="1" applyFont="1" applyBorder="1" applyAlignment="1">
      <alignment horizontal="centerContinuous" vertical="center"/>
    </xf>
    <xf numFmtId="0" fontId="6" fillId="4" borderId="4" xfId="0" applyFont="1" applyFill="1" applyBorder="1" applyAlignment="1">
      <alignment vertical="center"/>
    </xf>
    <xf numFmtId="168" fontId="6" fillId="0" borderId="0" xfId="0" applyNumberFormat="1" applyFont="1" applyAlignment="1">
      <alignment horizontal="center" vertical="center"/>
    </xf>
    <xf numFmtId="0" fontId="6" fillId="0" borderId="0" xfId="0" quotePrefix="1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6" fillId="0" borderId="9" xfId="0" quotePrefix="1" applyFont="1" applyBorder="1" applyAlignment="1">
      <alignment horizontal="center" vertical="center"/>
    </xf>
    <xf numFmtId="0" fontId="6" fillId="0" borderId="1" xfId="0" applyFont="1" applyBorder="1" applyAlignment="1">
      <alignment horizontal="centerContinuous" vertical="center"/>
    </xf>
    <xf numFmtId="0" fontId="6" fillId="0" borderId="1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12" fillId="0" borderId="11" xfId="0" quotePrefix="1" applyFont="1" applyBorder="1" applyAlignment="1">
      <alignment horizontal="left" vertical="center"/>
    </xf>
    <xf numFmtId="0" fontId="12" fillId="0" borderId="1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168" fontId="12" fillId="0" borderId="4" xfId="0" applyNumberFormat="1" applyFont="1" applyBorder="1" applyAlignment="1">
      <alignment vertical="center"/>
    </xf>
    <xf numFmtId="0" fontId="11" fillId="0" borderId="17" xfId="0" applyFont="1" applyBorder="1" applyAlignment="1">
      <alignment horizontal="centerContinuous"/>
    </xf>
    <xf numFmtId="0" fontId="12" fillId="0" borderId="15" xfId="0" applyFont="1" applyBorder="1" applyAlignment="1">
      <alignment horizontal="centerContinuous" vertical="center"/>
    </xf>
    <xf numFmtId="0" fontId="6" fillId="0" borderId="7" xfId="0" applyFont="1" applyBorder="1" applyAlignment="1">
      <alignment horizontal="centerContinuous" vertical="center"/>
    </xf>
    <xf numFmtId="0" fontId="11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12" fillId="0" borderId="11" xfId="0" applyFont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54" fillId="0" borderId="4" xfId="0" applyFont="1" applyBorder="1" applyAlignment="1">
      <alignment vertical="center"/>
    </xf>
    <xf numFmtId="0" fontId="12" fillId="4" borderId="4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Continuous" vertical="center"/>
    </xf>
    <xf numFmtId="0" fontId="2" fillId="5" borderId="32" xfId="0" applyFont="1" applyFill="1" applyBorder="1" applyAlignment="1">
      <alignment horizontal="centerContinuous" vertical="center"/>
    </xf>
    <xf numFmtId="0" fontId="18" fillId="0" borderId="1" xfId="0" applyFont="1" applyBorder="1" applyAlignment="1">
      <alignment vertical="center"/>
    </xf>
    <xf numFmtId="0" fontId="18" fillId="0" borderId="11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6" fillId="0" borderId="33" xfId="0" applyFont="1" applyBorder="1"/>
    <xf numFmtId="0" fontId="6" fillId="0" borderId="20" xfId="0" applyFont="1" applyBorder="1"/>
    <xf numFmtId="0" fontId="22" fillId="0" borderId="0" xfId="0" applyFont="1" applyAlignment="1">
      <alignment vertical="center"/>
    </xf>
    <xf numFmtId="0" fontId="12" fillId="0" borderId="34" xfId="0" applyFont="1" applyBorder="1" applyAlignment="1">
      <alignment horizontal="centerContinuous"/>
    </xf>
    <xf numFmtId="0" fontId="12" fillId="0" borderId="35" xfId="0" applyFont="1" applyBorder="1" applyAlignment="1">
      <alignment horizontal="centerContinuous"/>
    </xf>
    <xf numFmtId="0" fontId="12" fillId="0" borderId="36" xfId="0" applyFont="1" applyBorder="1" applyAlignment="1">
      <alignment horizontal="centerContinuous"/>
    </xf>
    <xf numFmtId="0" fontId="12" fillId="0" borderId="37" xfId="0" applyFont="1" applyBorder="1" applyAlignment="1">
      <alignment horizontal="centerContinuous"/>
    </xf>
    <xf numFmtId="0" fontId="12" fillId="0" borderId="0" xfId="0" applyFont="1" applyAlignment="1">
      <alignment horizontal="centerContinuous"/>
    </xf>
    <xf numFmtId="0" fontId="11" fillId="0" borderId="13" xfId="0" applyFont="1" applyBorder="1"/>
    <xf numFmtId="0" fontId="12" fillId="0" borderId="13" xfId="0" applyFont="1" applyBorder="1" applyAlignment="1">
      <alignment horizontal="centerContinuous"/>
    </xf>
    <xf numFmtId="0" fontId="12" fillId="0" borderId="1" xfId="0" applyFont="1" applyBorder="1" applyAlignment="1">
      <alignment horizontal="centerContinuous"/>
    </xf>
    <xf numFmtId="0" fontId="12" fillId="0" borderId="7" xfId="0" applyFont="1" applyBorder="1"/>
    <xf numFmtId="0" fontId="12" fillId="0" borderId="11" xfId="0" applyFont="1" applyBorder="1"/>
    <xf numFmtId="168" fontId="11" fillId="0" borderId="0" xfId="0" applyNumberFormat="1" applyFont="1"/>
    <xf numFmtId="0" fontId="11" fillId="0" borderId="18" xfId="0" applyFont="1" applyBorder="1" applyAlignment="1">
      <alignment horizontal="centerContinuous"/>
    </xf>
    <xf numFmtId="0" fontId="11" fillId="0" borderId="0" xfId="0" applyFont="1" applyAlignment="1">
      <alignment horizontal="centerContinuous"/>
    </xf>
    <xf numFmtId="168" fontId="18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12" fillId="0" borderId="20" xfId="0" applyFont="1" applyBorder="1" applyAlignment="1">
      <alignment horizontal="right" vertical="center"/>
    </xf>
    <xf numFmtId="1" fontId="6" fillId="3" borderId="6" xfId="0" applyNumberFormat="1" applyFont="1" applyFill="1" applyBorder="1" applyAlignment="1" applyProtection="1">
      <alignment vertical="center"/>
      <protection locked="0"/>
    </xf>
    <xf numFmtId="0" fontId="9" fillId="0" borderId="38" xfId="0" applyFont="1" applyBorder="1" applyAlignment="1">
      <alignment vertical="center"/>
    </xf>
    <xf numFmtId="0" fontId="12" fillId="0" borderId="33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32" fillId="0" borderId="8" xfId="0" applyFont="1" applyBorder="1" applyAlignment="1">
      <alignment horizontal="center"/>
    </xf>
    <xf numFmtId="0" fontId="11" fillId="0" borderId="39" xfId="0" applyFont="1" applyBorder="1"/>
    <xf numFmtId="0" fontId="41" fillId="0" borderId="4" xfId="0" applyFont="1" applyBorder="1" applyAlignment="1">
      <alignment horizontal="centerContinuous" vertical="center"/>
    </xf>
    <xf numFmtId="1" fontId="8" fillId="0" borderId="40" xfId="0" quotePrefix="1" applyNumberFormat="1" applyFont="1" applyBorder="1" applyAlignment="1">
      <alignment horizontal="right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41" xfId="0" applyFont="1" applyFill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71" fillId="0" borderId="8" xfId="0" applyFont="1" applyBorder="1" applyAlignment="1">
      <alignment horizontal="center" vertical="center"/>
    </xf>
    <xf numFmtId="0" fontId="71" fillId="0" borderId="7" xfId="0" applyFont="1" applyBorder="1" applyAlignment="1">
      <alignment horizontal="center" vertical="center"/>
    </xf>
    <xf numFmtId="0" fontId="70" fillId="0" borderId="7" xfId="0" applyFont="1" applyBorder="1" applyAlignment="1">
      <alignment horizontal="center" vertical="center"/>
    </xf>
    <xf numFmtId="0" fontId="71" fillId="0" borderId="9" xfId="0" applyFont="1" applyBorder="1" applyAlignment="1">
      <alignment horizontal="center" vertical="center"/>
    </xf>
    <xf numFmtId="0" fontId="70" fillId="0" borderId="9" xfId="0" applyFont="1" applyBorder="1" applyAlignment="1">
      <alignment horizontal="center" vertical="center"/>
    </xf>
    <xf numFmtId="0" fontId="74" fillId="0" borderId="0" xfId="4" applyFont="1"/>
    <xf numFmtId="0" fontId="23" fillId="0" borderId="7" xfId="4" applyFont="1" applyBorder="1" applyAlignment="1">
      <alignment horizontal="center" vertical="center" wrapText="1"/>
    </xf>
    <xf numFmtId="0" fontId="23" fillId="0" borderId="1" xfId="4" applyFont="1" applyBorder="1" applyAlignment="1">
      <alignment horizontal="center" vertical="center"/>
    </xf>
    <xf numFmtId="0" fontId="23" fillId="0" borderId="42" xfId="4" applyFont="1" applyBorder="1" applyAlignment="1">
      <alignment horizontal="center" vertical="center"/>
    </xf>
    <xf numFmtId="0" fontId="23" fillId="0" borderId="43" xfId="4" applyFont="1" applyBorder="1" applyAlignment="1">
      <alignment horizontal="center" vertical="center"/>
    </xf>
    <xf numFmtId="0" fontId="75" fillId="0" borderId="13" xfId="4" applyFont="1" applyBorder="1" applyAlignment="1">
      <alignment horizontal="centerContinuous" vertical="center"/>
    </xf>
    <xf numFmtId="0" fontId="75" fillId="0" borderId="15" xfId="4" applyFont="1" applyBorder="1" applyAlignment="1">
      <alignment horizontal="centerContinuous" vertical="center"/>
    </xf>
    <xf numFmtId="0" fontId="23" fillId="0" borderId="8" xfId="4" applyFont="1" applyBorder="1" applyAlignment="1">
      <alignment vertical="center"/>
    </xf>
    <xf numFmtId="0" fontId="23" fillId="0" borderId="11" xfId="4" applyFont="1" applyBorder="1" applyAlignment="1">
      <alignment vertical="center"/>
    </xf>
    <xf numFmtId="0" fontId="23" fillId="0" borderId="44" xfId="4" applyFont="1" applyBorder="1" applyAlignment="1">
      <alignment vertical="center"/>
    </xf>
    <xf numFmtId="0" fontId="23" fillId="0" borderId="45" xfId="4" applyFont="1" applyBorder="1" applyAlignment="1">
      <alignment horizontal="center" vertical="center"/>
    </xf>
    <xf numFmtId="0" fontId="23" fillId="0" borderId="44" xfId="4" applyFont="1" applyBorder="1" applyAlignment="1">
      <alignment horizontal="center" vertical="center"/>
    </xf>
    <xf numFmtId="0" fontId="78" fillId="0" borderId="0" xfId="4" applyFont="1"/>
    <xf numFmtId="0" fontId="75" fillId="0" borderId="0" xfId="4" applyFont="1"/>
    <xf numFmtId="0" fontId="78" fillId="0" borderId="0" xfId="4" applyFont="1" applyAlignment="1">
      <alignment horizontal="right"/>
    </xf>
    <xf numFmtId="0" fontId="23" fillId="0" borderId="0" xfId="4" applyFont="1" applyAlignment="1">
      <alignment horizontal="right"/>
    </xf>
    <xf numFmtId="0" fontId="75" fillId="0" borderId="0" xfId="4" applyFont="1" applyAlignment="1">
      <alignment horizontal="right"/>
    </xf>
    <xf numFmtId="0" fontId="23" fillId="0" borderId="0" xfId="4" applyFont="1"/>
    <xf numFmtId="0" fontId="75" fillId="0" borderId="0" xfId="4" applyFont="1" applyAlignment="1">
      <alignment horizontal="right" vertical="top"/>
    </xf>
    <xf numFmtId="0" fontId="23" fillId="0" borderId="0" xfId="4" applyFont="1" applyAlignment="1">
      <alignment horizontal="right" vertical="top"/>
    </xf>
    <xf numFmtId="0" fontId="23" fillId="0" borderId="0" xfId="4" applyFont="1" applyAlignment="1">
      <alignment vertical="center"/>
    </xf>
    <xf numFmtId="0" fontId="80" fillId="0" borderId="0" xfId="4" applyFont="1" applyAlignment="1">
      <alignment horizontal="right" vertical="top"/>
    </xf>
    <xf numFmtId="0" fontId="23" fillId="0" borderId="0" xfId="4" applyFont="1" applyAlignment="1">
      <alignment vertical="top"/>
    </xf>
    <xf numFmtId="0" fontId="23" fillId="0" borderId="0" xfId="4" applyFont="1" applyAlignment="1">
      <alignment horizontal="right" vertical="center"/>
    </xf>
    <xf numFmtId="0" fontId="75" fillId="0" borderId="0" xfId="4" applyFont="1" applyAlignment="1">
      <alignment vertical="center"/>
    </xf>
    <xf numFmtId="0" fontId="78" fillId="0" borderId="0" xfId="4" applyFont="1" applyAlignment="1">
      <alignment vertical="center"/>
    </xf>
    <xf numFmtId="1" fontId="78" fillId="0" borderId="0" xfId="4" applyNumberFormat="1" applyFont="1"/>
    <xf numFmtId="1" fontId="23" fillId="0" borderId="0" xfId="4" applyNumberFormat="1" applyFont="1" applyAlignment="1">
      <alignment horizontal="right"/>
    </xf>
    <xf numFmtId="3" fontId="78" fillId="0" borderId="4" xfId="4" applyNumberFormat="1" applyFont="1" applyBorder="1"/>
    <xf numFmtId="3" fontId="78" fillId="0" borderId="46" xfId="4" applyNumberFormat="1" applyFont="1" applyBorder="1"/>
    <xf numFmtId="3" fontId="78" fillId="0" borderId="47" xfId="4" applyNumberFormat="1" applyFont="1" applyBorder="1"/>
    <xf numFmtId="171" fontId="78" fillId="0" borderId="48" xfId="4" applyNumberFormat="1" applyFont="1" applyBorder="1"/>
    <xf numFmtId="171" fontId="78" fillId="0" borderId="17" xfId="4" applyNumberFormat="1" applyFont="1" applyBorder="1"/>
    <xf numFmtId="3" fontId="78" fillId="0" borderId="0" xfId="4" applyNumberFormat="1" applyFont="1"/>
    <xf numFmtId="171" fontId="78" fillId="0" borderId="0" xfId="4" applyNumberFormat="1" applyFont="1"/>
    <xf numFmtId="0" fontId="22" fillId="0" borderId="0" xfId="4" applyFont="1" applyAlignment="1">
      <alignment vertical="center"/>
    </xf>
    <xf numFmtId="0" fontId="78" fillId="0" borderId="49" xfId="4" applyFont="1" applyBorder="1"/>
    <xf numFmtId="0" fontId="23" fillId="0" borderId="49" xfId="4" applyFont="1" applyBorder="1" applyAlignment="1">
      <alignment horizontal="right"/>
    </xf>
    <xf numFmtId="0" fontId="11" fillId="0" borderId="45" xfId="4" applyFont="1" applyBorder="1" applyAlignment="1">
      <alignment horizontal="center" vertical="center"/>
    </xf>
    <xf numFmtId="4" fontId="78" fillId="0" borderId="0" xfId="4" applyNumberFormat="1" applyFont="1"/>
    <xf numFmtId="4" fontId="78" fillId="0" borderId="49" xfId="4" applyNumberFormat="1" applyFont="1" applyBorder="1"/>
    <xf numFmtId="0" fontId="11" fillId="0" borderId="44" xfId="4" applyFont="1" applyBorder="1" applyAlignment="1">
      <alignment horizontal="center" vertical="center"/>
    </xf>
    <xf numFmtId="0" fontId="11" fillId="0" borderId="1" xfId="4" applyFont="1" applyBorder="1" applyAlignment="1">
      <alignment horizontal="centerContinuous" vertical="center" wrapText="1"/>
    </xf>
    <xf numFmtId="3" fontId="11" fillId="0" borderId="31" xfId="4" applyNumberFormat="1" applyFont="1" applyBorder="1" applyAlignment="1">
      <alignment vertical="center"/>
    </xf>
    <xf numFmtId="3" fontId="11" fillId="0" borderId="50" xfId="4" applyNumberFormat="1" applyFont="1" applyBorder="1" applyAlignment="1">
      <alignment vertical="center"/>
    </xf>
    <xf numFmtId="0" fontId="23" fillId="3" borderId="0" xfId="4" applyFont="1" applyFill="1" applyProtection="1">
      <protection locked="0"/>
    </xf>
    <xf numFmtId="0" fontId="11" fillId="0" borderId="0" xfId="4" applyFont="1" applyAlignment="1">
      <alignment horizontal="right"/>
    </xf>
    <xf numFmtId="0" fontId="11" fillId="0" borderId="0" xfId="4" applyFont="1" applyAlignment="1">
      <alignment horizontal="right" vertical="center"/>
    </xf>
    <xf numFmtId="0" fontId="11" fillId="0" borderId="0" xfId="4" applyFont="1" applyAlignment="1">
      <alignment vertical="center"/>
    </xf>
    <xf numFmtId="0" fontId="11" fillId="0" borderId="11" xfId="4" applyFont="1" applyBorder="1" applyAlignment="1">
      <alignment horizontal="center" vertical="center"/>
    </xf>
    <xf numFmtId="0" fontId="78" fillId="0" borderId="0" xfId="4" applyFont="1" applyAlignment="1">
      <alignment horizontal="center"/>
    </xf>
    <xf numFmtId="0" fontId="75" fillId="0" borderId="0" xfId="4" applyFont="1" applyAlignment="1">
      <alignment horizontal="center" vertical="top"/>
    </xf>
    <xf numFmtId="0" fontId="11" fillId="0" borderId="0" xfId="4" applyFont="1" applyAlignment="1">
      <alignment horizontal="center" vertical="center"/>
    </xf>
    <xf numFmtId="0" fontId="78" fillId="0" borderId="49" xfId="4" applyFont="1" applyBorder="1" applyAlignment="1">
      <alignment horizontal="center"/>
    </xf>
    <xf numFmtId="0" fontId="23" fillId="0" borderId="0" xfId="4" applyFont="1" applyAlignment="1">
      <alignment horizontal="center"/>
    </xf>
    <xf numFmtId="0" fontId="22" fillId="0" borderId="1" xfId="4" applyFont="1" applyBorder="1" applyAlignment="1">
      <alignment horizontal="centerContinuous" vertical="center" wrapText="1"/>
    </xf>
    <xf numFmtId="0" fontId="81" fillId="0" borderId="0" xfId="4" applyFont="1"/>
    <xf numFmtId="0" fontId="81" fillId="0" borderId="0" xfId="4" applyFont="1" applyAlignment="1">
      <alignment horizontal="center"/>
    </xf>
    <xf numFmtId="0" fontId="78" fillId="0" borderId="0" xfId="4" applyFont="1" applyAlignment="1">
      <alignment horizontal="left"/>
    </xf>
    <xf numFmtId="0" fontId="79" fillId="0" borderId="51" xfId="4" applyFont="1" applyBorder="1" applyAlignment="1">
      <alignment horizontal="center"/>
    </xf>
    <xf numFmtId="0" fontId="79" fillId="0" borderId="52" xfId="4" applyFont="1" applyBorder="1" applyAlignment="1">
      <alignment horizontal="center"/>
    </xf>
    <xf numFmtId="0" fontId="11" fillId="0" borderId="13" xfId="4" applyFont="1" applyBorder="1" applyAlignment="1">
      <alignment horizontal="center" wrapText="1"/>
    </xf>
    <xf numFmtId="0" fontId="13" fillId="0" borderId="53" xfId="4" applyFont="1" applyBorder="1" applyAlignment="1">
      <alignment horizontal="centerContinuous" vertical="center" wrapText="1"/>
    </xf>
    <xf numFmtId="14" fontId="78" fillId="0" borderId="0" xfId="4" applyNumberFormat="1" applyFont="1"/>
    <xf numFmtId="0" fontId="6" fillId="0" borderId="0" xfId="4" applyFont="1" applyAlignment="1">
      <alignment vertical="center"/>
    </xf>
    <xf numFmtId="0" fontId="18" fillId="7" borderId="13" xfId="4" applyFont="1" applyFill="1" applyBorder="1" applyAlignment="1">
      <alignment horizontal="center"/>
    </xf>
    <xf numFmtId="0" fontId="83" fillId="7" borderId="14" xfId="4" applyFont="1" applyFill="1" applyBorder="1" applyAlignment="1">
      <alignment horizontal="left" vertical="center"/>
    </xf>
    <xf numFmtId="0" fontId="81" fillId="0" borderId="0" xfId="4" applyFont="1" applyProtection="1">
      <protection hidden="1"/>
    </xf>
    <xf numFmtId="0" fontId="86" fillId="0" borderId="0" xfId="4" applyFont="1" applyProtection="1">
      <protection hidden="1"/>
    </xf>
    <xf numFmtId="0" fontId="18" fillId="0" borderId="54" xfId="4" applyFont="1" applyBorder="1" applyAlignment="1">
      <alignment horizontal="center" vertical="center"/>
    </xf>
    <xf numFmtId="0" fontId="18" fillId="0" borderId="45" xfId="4" applyFont="1" applyBorder="1" applyAlignment="1">
      <alignment horizontal="center" vertical="center"/>
    </xf>
    <xf numFmtId="0" fontId="85" fillId="0" borderId="0" xfId="4" applyFont="1" applyAlignment="1">
      <alignment vertical="center"/>
    </xf>
    <xf numFmtId="0" fontId="88" fillId="0" borderId="0" xfId="4" applyFont="1" applyAlignment="1">
      <alignment horizontal="left"/>
    </xf>
    <xf numFmtId="0" fontId="40" fillId="0" borderId="0" xfId="4" applyFont="1" applyAlignment="1">
      <alignment horizontal="left"/>
    </xf>
    <xf numFmtId="0" fontId="91" fillId="0" borderId="0" xfId="4" applyFont="1" applyAlignment="1">
      <alignment horizontal="left"/>
    </xf>
    <xf numFmtId="0" fontId="92" fillId="0" borderId="0" xfId="4" applyFont="1" applyAlignment="1">
      <alignment horizontal="left" vertical="center"/>
    </xf>
    <xf numFmtId="0" fontId="93" fillId="0" borderId="0" xfId="4" applyFont="1" applyAlignment="1">
      <alignment horizontal="left" vertical="center"/>
    </xf>
    <xf numFmtId="171" fontId="88" fillId="0" borderId="0" xfId="4" applyNumberFormat="1" applyFont="1" applyAlignment="1">
      <alignment horizontal="left"/>
    </xf>
    <xf numFmtId="0" fontId="92" fillId="0" borderId="0" xfId="4" applyFont="1" applyAlignment="1">
      <alignment horizontal="left"/>
    </xf>
    <xf numFmtId="171" fontId="40" fillId="0" borderId="0" xfId="4" applyNumberFormat="1" applyFont="1" applyAlignment="1" applyProtection="1">
      <alignment horizontal="left" vertical="center"/>
      <protection locked="0"/>
    </xf>
    <xf numFmtId="171" fontId="88" fillId="0" borderId="0" xfId="4" applyNumberFormat="1" applyFont="1" applyAlignment="1" applyProtection="1">
      <alignment horizontal="left"/>
      <protection locked="0"/>
    </xf>
    <xf numFmtId="0" fontId="89" fillId="0" borderId="0" xfId="4" applyFont="1" applyAlignment="1">
      <alignment horizontal="left"/>
    </xf>
    <xf numFmtId="0" fontId="90" fillId="0" borderId="0" xfId="0" applyFont="1" applyAlignment="1">
      <alignment horizontal="left"/>
    </xf>
    <xf numFmtId="3" fontId="91" fillId="0" borderId="0" xfId="4" applyNumberFormat="1" applyFont="1" applyAlignment="1">
      <alignment horizontal="left"/>
    </xf>
    <xf numFmtId="0" fontId="6" fillId="0" borderId="55" xfId="0" applyFont="1" applyBorder="1"/>
    <xf numFmtId="0" fontId="10" fillId="0" borderId="9" xfId="0" applyFont="1" applyBorder="1" applyAlignment="1">
      <alignment horizontal="center" vertical="center"/>
    </xf>
    <xf numFmtId="0" fontId="53" fillId="0" borderId="9" xfId="0" applyFont="1" applyBorder="1"/>
    <xf numFmtId="0" fontId="12" fillId="0" borderId="7" xfId="0" applyFont="1" applyBorder="1" applyAlignment="1">
      <alignment horizontal="centerContinuous" vertical="center"/>
    </xf>
    <xf numFmtId="0" fontId="12" fillId="0" borderId="43" xfId="0" applyFont="1" applyBorder="1" applyAlignment="1">
      <alignment horizontal="center"/>
    </xf>
    <xf numFmtId="0" fontId="83" fillId="0" borderId="9" xfId="0" applyFont="1" applyBorder="1" applyAlignment="1">
      <alignment horizontal="center" vertical="center"/>
    </xf>
    <xf numFmtId="1" fontId="12" fillId="0" borderId="0" xfId="0" applyNumberFormat="1" applyFont="1" applyAlignment="1">
      <alignment vertical="center"/>
    </xf>
    <xf numFmtId="0" fontId="47" fillId="2" borderId="0" xfId="0" applyFont="1" applyFill="1" applyAlignment="1">
      <alignment horizontal="center" vertical="center"/>
    </xf>
    <xf numFmtId="169" fontId="6" fillId="0" borderId="0" xfId="0" applyNumberFormat="1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83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right" vertical="center"/>
    </xf>
    <xf numFmtId="0" fontId="6" fillId="0" borderId="56" xfId="0" applyFont="1" applyBorder="1" applyAlignment="1">
      <alignment horizontal="center" vertical="center"/>
    </xf>
    <xf numFmtId="168" fontId="6" fillId="0" borderId="17" xfId="0" applyNumberFormat="1" applyFont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57" xfId="0" applyFont="1" applyFill="1" applyBorder="1" applyAlignment="1">
      <alignment horizontal="center" vertical="center"/>
    </xf>
    <xf numFmtId="1" fontId="83" fillId="0" borderId="0" xfId="3" applyNumberFormat="1" applyFont="1" applyFill="1" applyBorder="1" applyAlignment="1" applyProtection="1">
      <alignment horizontal="left" vertical="center"/>
    </xf>
    <xf numFmtId="167" fontId="6" fillId="0" borderId="15" xfId="3" applyNumberFormat="1" applyFont="1" applyFill="1" applyBorder="1" applyAlignment="1" applyProtection="1">
      <alignment horizontal="right" vertical="center"/>
    </xf>
    <xf numFmtId="2" fontId="6" fillId="0" borderId="6" xfId="0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horizontal="left" vertical="center"/>
    </xf>
    <xf numFmtId="0" fontId="12" fillId="0" borderId="58" xfId="0" applyFont="1" applyBorder="1" applyAlignment="1">
      <alignment horizontal="center"/>
    </xf>
    <xf numFmtId="0" fontId="12" fillId="0" borderId="50" xfId="0" applyFont="1" applyBorder="1" applyAlignment="1">
      <alignment horizontal="center" vertical="center"/>
    </xf>
    <xf numFmtId="0" fontId="12" fillId="0" borderId="59" xfId="0" applyFont="1" applyBorder="1" applyAlignment="1">
      <alignment horizontal="center" vertical="center"/>
    </xf>
    <xf numFmtId="0" fontId="54" fillId="0" borderId="4" xfId="0" quotePrefix="1" applyFont="1" applyBorder="1" applyAlignment="1">
      <alignment horizontal="left" vertical="center"/>
    </xf>
    <xf numFmtId="0" fontId="15" fillId="0" borderId="17" xfId="0" applyFont="1" applyBorder="1" applyAlignment="1">
      <alignment vertical="center"/>
    </xf>
    <xf numFmtId="0" fontId="12" fillId="0" borderId="4" xfId="0" quotePrefix="1" applyFont="1" applyBorder="1" applyAlignment="1">
      <alignment horizontal="left" vertical="center"/>
    </xf>
    <xf numFmtId="0" fontId="32" fillId="0" borderId="0" xfId="0" applyFont="1" applyAlignment="1">
      <alignment horizontal="centerContinuous"/>
    </xf>
    <xf numFmtId="166" fontId="12" fillId="0" borderId="0" xfId="0" applyNumberFormat="1" applyFont="1" applyAlignment="1">
      <alignment vertical="center"/>
    </xf>
    <xf numFmtId="165" fontId="6" fillId="0" borderId="6" xfId="0" applyNumberFormat="1" applyFont="1" applyBorder="1" applyAlignment="1" applyProtection="1">
      <alignment vertical="center"/>
      <protection hidden="1"/>
    </xf>
    <xf numFmtId="165" fontId="6" fillId="0" borderId="17" xfId="0" applyNumberFormat="1" applyFont="1" applyBorder="1" applyAlignment="1" applyProtection="1">
      <alignment horizontal="centerContinuous" vertical="center"/>
      <protection hidden="1"/>
    </xf>
    <xf numFmtId="0" fontId="6" fillId="0" borderId="17" xfId="0" applyFont="1" applyBorder="1" applyAlignment="1" applyProtection="1">
      <alignment horizontal="centerContinuous" vertical="center"/>
      <protection hidden="1"/>
    </xf>
    <xf numFmtId="167" fontId="6" fillId="0" borderId="11" xfId="0" applyNumberFormat="1" applyFont="1" applyBorder="1" applyAlignment="1">
      <alignment vertical="center"/>
    </xf>
    <xf numFmtId="172" fontId="6" fillId="0" borderId="0" xfId="0" applyNumberFormat="1" applyFont="1"/>
    <xf numFmtId="0" fontId="6" fillId="0" borderId="60" xfId="0" applyFont="1" applyBorder="1"/>
    <xf numFmtId="0" fontId="6" fillId="0" borderId="61" xfId="0" applyFont="1" applyBorder="1"/>
    <xf numFmtId="169" fontId="31" fillId="0" borderId="0" xfId="0" applyNumberFormat="1" applyFont="1" applyProtection="1">
      <protection hidden="1"/>
    </xf>
    <xf numFmtId="168" fontId="100" fillId="0" borderId="0" xfId="0" applyNumberFormat="1" applyFont="1" applyAlignment="1">
      <alignment horizontal="right"/>
    </xf>
    <xf numFmtId="168" fontId="100" fillId="0" borderId="0" xfId="0" applyNumberFormat="1" applyFont="1" applyAlignment="1" applyProtection="1">
      <alignment horizontal="right"/>
      <protection hidden="1"/>
    </xf>
    <xf numFmtId="0" fontId="78" fillId="0" borderId="0" xfId="4" applyFont="1" applyProtection="1">
      <protection locked="0"/>
    </xf>
    <xf numFmtId="0" fontId="11" fillId="0" borderId="2" xfId="0" applyFont="1" applyBorder="1" applyProtection="1">
      <protection hidden="1"/>
    </xf>
    <xf numFmtId="0" fontId="11" fillId="0" borderId="0" xfId="0" applyFont="1" applyProtection="1">
      <protection hidden="1"/>
    </xf>
    <xf numFmtId="0" fontId="10" fillId="0" borderId="8" xfId="0" applyFont="1" applyBorder="1" applyAlignment="1" applyProtection="1">
      <alignment horizontal="center" vertical="center"/>
      <protection hidden="1"/>
    </xf>
    <xf numFmtId="1" fontId="6" fillId="0" borderId="0" xfId="0" applyNumberFormat="1" applyFont="1" applyAlignment="1" applyProtection="1">
      <alignment vertical="center"/>
      <protection hidden="1"/>
    </xf>
    <xf numFmtId="1" fontId="6" fillId="0" borderId="9" xfId="0" applyNumberFormat="1" applyFont="1" applyBorder="1" applyAlignment="1" applyProtection="1">
      <alignment vertical="center"/>
      <protection hidden="1"/>
    </xf>
    <xf numFmtId="1" fontId="12" fillId="0" borderId="6" xfId="0" applyNumberFormat="1" applyFont="1" applyBorder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6" fillId="0" borderId="8" xfId="0" applyFont="1" applyBorder="1" applyAlignment="1" applyProtection="1">
      <alignment horizontal="center" vertical="center"/>
      <protection hidden="1"/>
    </xf>
    <xf numFmtId="9" fontId="6" fillId="0" borderId="9" xfId="0" applyNumberFormat="1" applyFont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right" vertical="center"/>
      <protection hidden="1"/>
    </xf>
    <xf numFmtId="0" fontId="12" fillId="0" borderId="0" xfId="0" applyFont="1" applyAlignment="1" applyProtection="1">
      <alignment vertical="center"/>
      <protection hidden="1"/>
    </xf>
    <xf numFmtId="9" fontId="12" fillId="8" borderId="8" xfId="3" applyFont="1" applyFill="1" applyBorder="1" applyAlignment="1" applyProtection="1">
      <alignment vertical="center"/>
      <protection hidden="1"/>
    </xf>
    <xf numFmtId="0" fontId="6" fillId="3" borderId="6" xfId="0" applyFont="1" applyFill="1" applyBorder="1" applyAlignment="1" applyProtection="1">
      <alignment vertical="center"/>
      <protection locked="0"/>
    </xf>
    <xf numFmtId="49" fontId="6" fillId="0" borderId="0" xfId="0" applyNumberFormat="1" applyFont="1" applyAlignment="1" applyProtection="1">
      <alignment vertical="center"/>
      <protection hidden="1"/>
    </xf>
    <xf numFmtId="49" fontId="11" fillId="0" borderId="0" xfId="0" applyNumberFormat="1" applyFont="1" applyAlignment="1" applyProtection="1">
      <alignment vertical="center"/>
      <protection hidden="1"/>
    </xf>
    <xf numFmtId="0" fontId="6" fillId="0" borderId="0" xfId="0" applyFont="1" applyProtection="1">
      <protection hidden="1"/>
    </xf>
    <xf numFmtId="49" fontId="6" fillId="0" borderId="0" xfId="0" applyNumberFormat="1" applyFont="1" applyAlignment="1" applyProtection="1">
      <alignment vertical="center"/>
      <protection locked="0" hidden="1"/>
    </xf>
    <xf numFmtId="49" fontId="11" fillId="0" borderId="0" xfId="0" applyNumberFormat="1" applyFont="1" applyProtection="1">
      <protection hidden="1"/>
    </xf>
    <xf numFmtId="49" fontId="12" fillId="0" borderId="0" xfId="0" applyNumberFormat="1" applyFont="1" applyAlignment="1" applyProtection="1">
      <alignment vertical="center"/>
      <protection hidden="1"/>
    </xf>
    <xf numFmtId="0" fontId="0" fillId="0" borderId="0" xfId="0" applyProtection="1">
      <protection hidden="1"/>
    </xf>
    <xf numFmtId="49" fontId="13" fillId="0" borderId="0" xfId="0" applyNumberFormat="1" applyFont="1" applyAlignment="1" applyProtection="1">
      <alignment vertical="center"/>
      <protection hidden="1"/>
    </xf>
    <xf numFmtId="49" fontId="11" fillId="0" borderId="0" xfId="0" quotePrefix="1" applyNumberFormat="1" applyFont="1" applyAlignment="1" applyProtection="1">
      <alignment vertical="center"/>
      <protection hidden="1"/>
    </xf>
    <xf numFmtId="49" fontId="6" fillId="0" borderId="0" xfId="0" applyNumberFormat="1" applyFont="1" applyAlignment="1" applyProtection="1">
      <alignment horizontal="center"/>
      <protection hidden="1"/>
    </xf>
    <xf numFmtId="49" fontId="6" fillId="0" borderId="0" xfId="0" applyNumberFormat="1" applyFont="1" applyAlignment="1" applyProtection="1">
      <alignment horizontal="center" vertical="center"/>
      <protection hidden="1"/>
    </xf>
    <xf numFmtId="167" fontId="6" fillId="0" borderId="0" xfId="3" applyNumberFormat="1" applyFont="1" applyAlignment="1" applyProtection="1">
      <alignment vertical="center"/>
      <protection hidden="1"/>
    </xf>
    <xf numFmtId="49" fontId="6" fillId="0" borderId="0" xfId="0" applyNumberFormat="1" applyFont="1" applyProtection="1">
      <protection hidden="1"/>
    </xf>
    <xf numFmtId="167" fontId="6" fillId="0" borderId="0" xfId="0" applyNumberFormat="1" applyFont="1" applyAlignment="1" applyProtection="1">
      <alignment vertical="center"/>
      <protection hidden="1"/>
    </xf>
    <xf numFmtId="0" fontId="18" fillId="0" borderId="0" xfId="0" applyFont="1" applyAlignment="1" applyProtection="1">
      <alignment vertical="center"/>
      <protection hidden="1"/>
    </xf>
    <xf numFmtId="167" fontId="6" fillId="0" borderId="0" xfId="3" applyNumberFormat="1" applyFont="1" applyProtection="1">
      <protection hidden="1"/>
    </xf>
    <xf numFmtId="49" fontId="40" fillId="0" borderId="0" xfId="0" quotePrefix="1" applyNumberFormat="1" applyFont="1" applyAlignment="1" applyProtection="1">
      <alignment vertical="center"/>
      <protection hidden="1"/>
    </xf>
    <xf numFmtId="49" fontId="27" fillId="0" borderId="0" xfId="0" applyNumberFormat="1" applyFont="1" applyAlignment="1" applyProtection="1">
      <alignment vertical="center"/>
      <protection hidden="1"/>
    </xf>
    <xf numFmtId="49" fontId="18" fillId="0" borderId="0" xfId="0" applyNumberFormat="1" applyFont="1" applyAlignment="1" applyProtection="1">
      <alignment vertical="center"/>
      <protection hidden="1"/>
    </xf>
    <xf numFmtId="49" fontId="49" fillId="0" borderId="0" xfId="0" applyNumberFormat="1" applyFont="1" applyAlignment="1" applyProtection="1">
      <alignment vertical="center"/>
      <protection hidden="1"/>
    </xf>
    <xf numFmtId="49" fontId="11" fillId="0" borderId="0" xfId="0" applyNumberFormat="1" applyFont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vertical="center"/>
      <protection hidden="1"/>
    </xf>
    <xf numFmtId="0" fontId="13" fillId="0" borderId="0" xfId="0" applyFont="1" applyAlignment="1" applyProtection="1">
      <alignment vertical="center"/>
      <protection hidden="1"/>
    </xf>
    <xf numFmtId="49" fontId="11" fillId="0" borderId="0" xfId="0" applyNumberFormat="1" applyFont="1" applyAlignment="1" applyProtection="1">
      <alignment vertical="top"/>
      <protection hidden="1"/>
    </xf>
    <xf numFmtId="49" fontId="6" fillId="0" borderId="0" xfId="0" applyNumberFormat="1" applyFont="1" applyAlignment="1" applyProtection="1">
      <alignment horizontal="right" vertical="center"/>
      <protection hidden="1"/>
    </xf>
    <xf numFmtId="49" fontId="14" fillId="0" borderId="0" xfId="0" applyNumberFormat="1" applyFont="1" applyAlignment="1" applyProtection="1">
      <alignment vertical="center"/>
      <protection hidden="1"/>
    </xf>
    <xf numFmtId="0" fontId="11" fillId="0" borderId="0" xfId="0" quotePrefix="1" applyFont="1" applyProtection="1">
      <protection hidden="1"/>
    </xf>
    <xf numFmtId="0" fontId="18" fillId="0" borderId="0" xfId="0" quotePrefix="1" applyFont="1" applyProtection="1">
      <protection hidden="1"/>
    </xf>
    <xf numFmtId="49" fontId="10" fillId="0" borderId="0" xfId="0" applyNumberFormat="1" applyFont="1" applyAlignment="1" applyProtection="1">
      <alignment horizontal="right" vertical="center"/>
      <protection hidden="1"/>
    </xf>
    <xf numFmtId="0" fontId="10" fillId="0" borderId="0" xfId="0" applyFont="1" applyAlignment="1" applyProtection="1">
      <alignment horizontal="right" vertical="center"/>
      <protection hidden="1"/>
    </xf>
    <xf numFmtId="49" fontId="28" fillId="0" borderId="0" xfId="0" applyNumberFormat="1" applyFont="1" applyAlignment="1" applyProtection="1">
      <alignment vertical="center"/>
      <protection hidden="1"/>
    </xf>
    <xf numFmtId="49" fontId="15" fillId="0" borderId="0" xfId="0" applyNumberFormat="1" applyFont="1" applyAlignment="1" applyProtection="1">
      <alignment vertical="center"/>
      <protection hidden="1"/>
    </xf>
    <xf numFmtId="0" fontId="15" fillId="0" borderId="0" xfId="0" applyFont="1" applyAlignment="1" applyProtection="1">
      <alignment vertical="center"/>
      <protection hidden="1"/>
    </xf>
    <xf numFmtId="49" fontId="6" fillId="9" borderId="0" xfId="0" applyNumberFormat="1" applyFont="1" applyFill="1" applyAlignment="1" applyProtection="1">
      <alignment vertical="center"/>
      <protection hidden="1"/>
    </xf>
    <xf numFmtId="0" fontId="16" fillId="0" borderId="0" xfId="0" applyFont="1" applyProtection="1">
      <protection hidden="1"/>
    </xf>
    <xf numFmtId="0" fontId="16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vertical="top"/>
      <protection hidden="1"/>
    </xf>
    <xf numFmtId="0" fontId="13" fillId="0" borderId="0" xfId="0" applyFont="1" applyProtection="1">
      <protection hidden="1"/>
    </xf>
    <xf numFmtId="0" fontId="13" fillId="0" borderId="0" xfId="0" applyFont="1" applyAlignment="1" applyProtection="1">
      <alignment horizontal="right" vertical="center"/>
      <protection hidden="1"/>
    </xf>
    <xf numFmtId="0" fontId="2" fillId="0" borderId="0" xfId="0" applyFont="1" applyProtection="1">
      <protection hidden="1"/>
    </xf>
    <xf numFmtId="0" fontId="12" fillId="0" borderId="6" xfId="0" applyFont="1" applyBorder="1" applyAlignment="1" applyProtection="1">
      <alignment horizontal="center"/>
      <protection hidden="1"/>
    </xf>
    <xf numFmtId="0" fontId="6" fillId="0" borderId="6" xfId="0" applyFont="1" applyBorder="1" applyProtection="1">
      <protection hidden="1"/>
    </xf>
    <xf numFmtId="0" fontId="12" fillId="0" borderId="62" xfId="0" applyFont="1" applyBorder="1" applyAlignment="1" applyProtection="1">
      <alignment horizontal="center"/>
      <protection hidden="1"/>
    </xf>
    <xf numFmtId="0" fontId="12" fillId="0" borderId="17" xfId="0" applyFont="1" applyBorder="1" applyAlignment="1" applyProtection="1">
      <alignment horizontal="center"/>
      <protection hidden="1"/>
    </xf>
    <xf numFmtId="0" fontId="6" fillId="0" borderId="6" xfId="0" applyFont="1" applyBorder="1" applyAlignment="1" applyProtection="1">
      <alignment horizontal="center"/>
      <protection hidden="1"/>
    </xf>
    <xf numFmtId="0" fontId="6" fillId="0" borderId="7" xfId="0" applyFont="1" applyBorder="1" applyProtection="1">
      <protection hidden="1"/>
    </xf>
    <xf numFmtId="0" fontId="6" fillId="0" borderId="0" xfId="0" applyFont="1" applyAlignment="1" applyProtection="1">
      <alignment horizontal="center"/>
      <protection hidden="1"/>
    </xf>
    <xf numFmtId="0" fontId="6" fillId="0" borderId="2" xfId="0" applyFont="1" applyBorder="1" applyAlignment="1" applyProtection="1">
      <alignment horizontal="center"/>
      <protection hidden="1"/>
    </xf>
    <xf numFmtId="0" fontId="6" fillId="0" borderId="9" xfId="0" applyFont="1" applyBorder="1" applyAlignment="1" applyProtection="1">
      <alignment horizontal="center"/>
      <protection hidden="1"/>
    </xf>
    <xf numFmtId="0" fontId="6" fillId="0" borderId="26" xfId="0" applyFont="1" applyBorder="1" applyAlignment="1" applyProtection="1">
      <alignment horizontal="center"/>
      <protection hidden="1"/>
    </xf>
    <xf numFmtId="0" fontId="6" fillId="0" borderId="63" xfId="0" applyFont="1" applyBorder="1" applyAlignment="1" applyProtection="1">
      <alignment horizontal="center"/>
      <protection hidden="1"/>
    </xf>
    <xf numFmtId="0" fontId="6" fillId="0" borderId="7" xfId="0" applyFont="1" applyBorder="1" applyAlignment="1" applyProtection="1">
      <alignment horizontal="center"/>
      <protection hidden="1"/>
    </xf>
    <xf numFmtId="0" fontId="13" fillId="6" borderId="0" xfId="0" applyFont="1" applyFill="1" applyProtection="1">
      <protection hidden="1"/>
    </xf>
    <xf numFmtId="0" fontId="11" fillId="6" borderId="0" xfId="0" applyFont="1" applyFill="1" applyProtection="1">
      <protection hidden="1"/>
    </xf>
    <xf numFmtId="0" fontId="6" fillId="6" borderId="0" xfId="0" applyFont="1" applyFill="1" applyProtection="1">
      <protection hidden="1"/>
    </xf>
    <xf numFmtId="0" fontId="6" fillId="0" borderId="8" xfId="0" applyFont="1" applyBorder="1" applyProtection="1">
      <protection hidden="1"/>
    </xf>
    <xf numFmtId="0" fontId="6" fillId="0" borderId="8" xfId="0" applyFont="1" applyBorder="1" applyAlignment="1" applyProtection="1">
      <alignment horizontal="center"/>
      <protection hidden="1"/>
    </xf>
    <xf numFmtId="0" fontId="6" fillId="0" borderId="64" xfId="0" applyFont="1" applyBorder="1" applyAlignment="1" applyProtection="1">
      <alignment horizontal="center"/>
      <protection hidden="1"/>
    </xf>
    <xf numFmtId="0" fontId="6" fillId="0" borderId="12" xfId="0" applyFont="1" applyBorder="1" applyAlignment="1" applyProtection="1">
      <alignment horizontal="center"/>
      <protection hidden="1"/>
    </xf>
    <xf numFmtId="0" fontId="6" fillId="0" borderId="65" xfId="0" applyFont="1" applyBorder="1" applyAlignment="1" applyProtection="1">
      <alignment horizontal="center"/>
      <protection hidden="1"/>
    </xf>
    <xf numFmtId="2" fontId="6" fillId="0" borderId="62" xfId="0" applyNumberFormat="1" applyFont="1" applyBorder="1" applyAlignment="1" applyProtection="1">
      <alignment horizontal="center"/>
      <protection hidden="1"/>
    </xf>
    <xf numFmtId="2" fontId="6" fillId="0" borderId="6" xfId="0" applyNumberFormat="1" applyFont="1" applyBorder="1" applyAlignment="1" applyProtection="1">
      <alignment horizontal="center"/>
      <protection hidden="1"/>
    </xf>
    <xf numFmtId="0" fontId="6" fillId="0" borderId="62" xfId="0" applyFont="1" applyBorder="1" applyAlignment="1" applyProtection="1">
      <alignment horizontal="center"/>
      <protection hidden="1"/>
    </xf>
    <xf numFmtId="0" fontId="6" fillId="0" borderId="66" xfId="0" applyFont="1" applyBorder="1" applyAlignment="1" applyProtection="1">
      <alignment horizontal="center"/>
      <protection hidden="1"/>
    </xf>
    <xf numFmtId="0" fontId="6" fillId="0" borderId="66" xfId="0" applyFont="1" applyBorder="1" applyProtection="1">
      <protection hidden="1"/>
    </xf>
    <xf numFmtId="0" fontId="6" fillId="0" borderId="67" xfId="0" applyFont="1" applyBorder="1" applyAlignment="1" applyProtection="1">
      <alignment horizontal="center"/>
      <protection hidden="1"/>
    </xf>
    <xf numFmtId="2" fontId="6" fillId="0" borderId="66" xfId="0" applyNumberFormat="1" applyFont="1" applyBorder="1" applyAlignment="1" applyProtection="1">
      <alignment horizontal="center"/>
      <protection hidden="1"/>
    </xf>
    <xf numFmtId="9" fontId="6" fillId="0" borderId="6" xfId="0" applyNumberFormat="1" applyFont="1" applyBorder="1" applyAlignment="1" applyProtection="1">
      <alignment horizontal="center"/>
      <protection hidden="1"/>
    </xf>
    <xf numFmtId="9" fontId="6" fillId="0" borderId="62" xfId="0" applyNumberFormat="1" applyFont="1" applyBorder="1" applyAlignment="1" applyProtection="1">
      <alignment horizontal="center"/>
      <protection hidden="1"/>
    </xf>
    <xf numFmtId="0" fontId="13" fillId="6" borderId="0" xfId="0" quotePrefix="1" applyFont="1" applyFill="1" applyProtection="1">
      <protection hidden="1"/>
    </xf>
    <xf numFmtId="0" fontId="11" fillId="9" borderId="0" xfId="0" applyFont="1" applyFill="1" applyProtection="1">
      <protection hidden="1"/>
    </xf>
    <xf numFmtId="0" fontId="6" fillId="9" borderId="0" xfId="0" applyFont="1" applyFill="1" applyProtection="1">
      <protection hidden="1"/>
    </xf>
    <xf numFmtId="0" fontId="12" fillId="0" borderId="27" xfId="0" applyFont="1" applyBorder="1" applyAlignment="1" applyProtection="1">
      <alignment horizontal="centerContinuous"/>
      <protection hidden="1"/>
    </xf>
    <xf numFmtId="0" fontId="12" fillId="0" borderId="18" xfId="0" applyFont="1" applyBorder="1" applyAlignment="1" applyProtection="1">
      <alignment horizontal="centerContinuous"/>
      <protection hidden="1"/>
    </xf>
    <xf numFmtId="0" fontId="6" fillId="0" borderId="18" xfId="0" applyFont="1" applyBorder="1" applyAlignment="1" applyProtection="1">
      <alignment horizontal="centerContinuous"/>
      <protection hidden="1"/>
    </xf>
    <xf numFmtId="0" fontId="6" fillId="0" borderId="25" xfId="0" applyFont="1" applyBorder="1" applyAlignment="1" applyProtection="1">
      <alignment horizontal="centerContinuous"/>
      <protection hidden="1"/>
    </xf>
    <xf numFmtId="0" fontId="12" fillId="0" borderId="25" xfId="0" applyFont="1" applyBorder="1" applyAlignment="1" applyProtection="1">
      <alignment horizontal="centerContinuous"/>
      <protection hidden="1"/>
    </xf>
    <xf numFmtId="0" fontId="12" fillId="0" borderId="63" xfId="0" applyFont="1" applyBorder="1" applyAlignment="1" applyProtection="1">
      <alignment horizontal="center"/>
      <protection hidden="1"/>
    </xf>
    <xf numFmtId="0" fontId="12" fillId="0" borderId="2" xfId="0" applyFont="1" applyBorder="1" applyAlignment="1" applyProtection="1">
      <alignment horizontal="center"/>
      <protection hidden="1"/>
    </xf>
    <xf numFmtId="0" fontId="12" fillId="0" borderId="16" xfId="0" applyFont="1" applyBorder="1" applyAlignment="1" applyProtection="1">
      <alignment horizontal="centerContinuous"/>
      <protection hidden="1"/>
    </xf>
    <xf numFmtId="0" fontId="12" fillId="0" borderId="9" xfId="0" applyFont="1" applyBorder="1" applyAlignment="1" applyProtection="1">
      <alignment horizontal="centerContinuous"/>
      <protection hidden="1"/>
    </xf>
    <xf numFmtId="0" fontId="12" fillId="0" borderId="68" xfId="0" applyFont="1" applyBorder="1" applyAlignment="1" applyProtection="1">
      <alignment horizontal="centerContinuous"/>
      <protection hidden="1"/>
    </xf>
    <xf numFmtId="0" fontId="12" fillId="0" borderId="69" xfId="0" applyFont="1" applyBorder="1" applyAlignment="1" applyProtection="1">
      <alignment horizontal="center"/>
      <protection hidden="1"/>
    </xf>
    <xf numFmtId="0" fontId="12" fillId="0" borderId="70" xfId="0" applyFont="1" applyBorder="1" applyAlignment="1" applyProtection="1">
      <alignment horizontal="center"/>
      <protection hidden="1"/>
    </xf>
    <xf numFmtId="0" fontId="12" fillId="0" borderId="55" xfId="0" applyFont="1" applyBorder="1" applyAlignment="1" applyProtection="1">
      <alignment horizontal="center"/>
      <protection hidden="1"/>
    </xf>
    <xf numFmtId="168" fontId="6" fillId="0" borderId="64" xfId="0" applyNumberFormat="1" applyFont="1" applyBorder="1" applyProtection="1">
      <protection hidden="1"/>
    </xf>
    <xf numFmtId="168" fontId="6" fillId="0" borderId="8" xfId="0" applyNumberFormat="1" applyFont="1" applyBorder="1" applyProtection="1">
      <protection hidden="1"/>
    </xf>
    <xf numFmtId="168" fontId="6" fillId="0" borderId="29" xfId="0" applyNumberFormat="1" applyFont="1" applyBorder="1" applyProtection="1">
      <protection hidden="1"/>
    </xf>
    <xf numFmtId="168" fontId="6" fillId="0" borderId="62" xfId="0" applyNumberFormat="1" applyFont="1" applyBorder="1" applyProtection="1">
      <protection hidden="1"/>
    </xf>
    <xf numFmtId="168" fontId="6" fillId="0" borderId="6" xfId="0" applyNumberFormat="1" applyFont="1" applyBorder="1" applyProtection="1">
      <protection hidden="1"/>
    </xf>
    <xf numFmtId="168" fontId="6" fillId="0" borderId="71" xfId="0" applyNumberFormat="1" applyFont="1" applyBorder="1" applyProtection="1">
      <protection hidden="1"/>
    </xf>
    <xf numFmtId="2" fontId="51" fillId="0" borderId="0" xfId="0" applyNumberFormat="1" applyFont="1" applyProtection="1">
      <protection hidden="1"/>
    </xf>
    <xf numFmtId="0" fontId="6" fillId="0" borderId="14" xfId="0" applyFont="1" applyBorder="1" applyProtection="1">
      <protection hidden="1"/>
    </xf>
    <xf numFmtId="168" fontId="6" fillId="0" borderId="72" xfId="0" applyNumberFormat="1" applyFont="1" applyBorder="1" applyProtection="1">
      <protection hidden="1"/>
    </xf>
    <xf numFmtId="168" fontId="6" fillId="0" borderId="60" xfId="0" applyNumberFormat="1" applyFont="1" applyBorder="1" applyProtection="1">
      <protection hidden="1"/>
    </xf>
    <xf numFmtId="168" fontId="6" fillId="0" borderId="67" xfId="0" applyNumberFormat="1" applyFont="1" applyBorder="1" applyProtection="1">
      <protection hidden="1"/>
    </xf>
    <xf numFmtId="168" fontId="6" fillId="0" borderId="73" xfId="0" applyNumberFormat="1" applyFont="1" applyBorder="1" applyProtection="1">
      <protection hidden="1"/>
    </xf>
    <xf numFmtId="168" fontId="6" fillId="0" borderId="24" xfId="0" applyNumberFormat="1" applyFont="1" applyBorder="1" applyProtection="1">
      <protection hidden="1"/>
    </xf>
    <xf numFmtId="168" fontId="12" fillId="0" borderId="62" xfId="0" applyNumberFormat="1" applyFont="1" applyBorder="1" applyProtection="1">
      <protection hidden="1"/>
    </xf>
    <xf numFmtId="168" fontId="12" fillId="0" borderId="4" xfId="0" applyNumberFormat="1" applyFont="1" applyBorder="1" applyProtection="1">
      <protection hidden="1"/>
    </xf>
    <xf numFmtId="168" fontId="12" fillId="0" borderId="46" xfId="0" applyNumberFormat="1" applyFont="1" applyBorder="1" applyProtection="1">
      <protection hidden="1"/>
    </xf>
    <xf numFmtId="168" fontId="12" fillId="0" borderId="74" xfId="0" applyNumberFormat="1" applyFont="1" applyBorder="1" applyProtection="1">
      <protection hidden="1"/>
    </xf>
    <xf numFmtId="1" fontId="12" fillId="0" borderId="75" xfId="0" applyNumberFormat="1" applyFont="1" applyBorder="1" applyAlignment="1" applyProtection="1">
      <alignment horizontal="centerContinuous"/>
      <protection hidden="1"/>
    </xf>
    <xf numFmtId="1" fontId="12" fillId="0" borderId="76" xfId="0" applyNumberFormat="1" applyFont="1" applyBorder="1" applyAlignment="1" applyProtection="1">
      <alignment horizontal="centerContinuous"/>
      <protection hidden="1"/>
    </xf>
    <xf numFmtId="1" fontId="6" fillId="0" borderId="76" xfId="0" applyNumberFormat="1" applyFont="1" applyBorder="1" applyAlignment="1" applyProtection="1">
      <alignment horizontal="centerContinuous"/>
      <protection hidden="1"/>
    </xf>
    <xf numFmtId="1" fontId="6" fillId="0" borderId="77" xfId="0" applyNumberFormat="1" applyFont="1" applyBorder="1" applyAlignment="1" applyProtection="1">
      <alignment horizontal="centerContinuous"/>
      <protection hidden="1"/>
    </xf>
    <xf numFmtId="1" fontId="12" fillId="0" borderId="77" xfId="0" applyNumberFormat="1" applyFont="1" applyBorder="1" applyAlignment="1" applyProtection="1">
      <alignment horizontal="centerContinuous"/>
      <protection hidden="1"/>
    </xf>
    <xf numFmtId="2" fontId="6" fillId="0" borderId="0" xfId="0" applyNumberFormat="1" applyFont="1" applyProtection="1">
      <protection hidden="1"/>
    </xf>
    <xf numFmtId="0" fontId="6" fillId="0" borderId="0" xfId="0" applyFont="1" applyAlignment="1" applyProtection="1">
      <alignment horizontal="centerContinuous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6" fillId="0" borderId="9" xfId="0" applyFont="1" applyBorder="1" applyAlignment="1" applyProtection="1">
      <alignment vertical="center"/>
      <protection hidden="1"/>
    </xf>
    <xf numFmtId="1" fontId="6" fillId="0" borderId="7" xfId="0" applyNumberFormat="1" applyFont="1" applyBorder="1" applyAlignment="1" applyProtection="1">
      <alignment vertical="center"/>
      <protection hidden="1"/>
    </xf>
    <xf numFmtId="0" fontId="6" fillId="0" borderId="16" xfId="0" applyFont="1" applyBorder="1" applyAlignment="1" applyProtection="1">
      <alignment vertical="center"/>
      <protection hidden="1"/>
    </xf>
    <xf numFmtId="1" fontId="6" fillId="0" borderId="4" xfId="0" applyNumberFormat="1" applyFont="1" applyBorder="1" applyAlignment="1" applyProtection="1">
      <alignment vertical="center"/>
      <protection hidden="1"/>
    </xf>
    <xf numFmtId="0" fontId="6" fillId="0" borderId="17" xfId="0" applyFont="1" applyBorder="1" applyAlignment="1" applyProtection="1">
      <alignment horizontal="left" vertical="center"/>
      <protection hidden="1"/>
    </xf>
    <xf numFmtId="1" fontId="6" fillId="0" borderId="6" xfId="0" applyNumberFormat="1" applyFont="1" applyBorder="1" applyAlignment="1" applyProtection="1">
      <alignment vertical="center"/>
      <protection hidden="1"/>
    </xf>
    <xf numFmtId="1" fontId="6" fillId="0" borderId="17" xfId="0" applyNumberFormat="1" applyFont="1" applyBorder="1" applyAlignment="1" applyProtection="1">
      <alignment vertical="center"/>
      <protection hidden="1"/>
    </xf>
    <xf numFmtId="0" fontId="6" fillId="0" borderId="7" xfId="0" applyFont="1" applyBorder="1" applyAlignment="1" applyProtection="1">
      <alignment vertical="center"/>
      <protection hidden="1"/>
    </xf>
    <xf numFmtId="0" fontId="6" fillId="0" borderId="8" xfId="0" applyFont="1" applyBorder="1" applyAlignment="1" applyProtection="1">
      <alignment vertical="center"/>
      <protection hidden="1"/>
    </xf>
    <xf numFmtId="1" fontId="6" fillId="0" borderId="8" xfId="0" applyNumberFormat="1" applyFont="1" applyBorder="1" applyAlignment="1" applyProtection="1">
      <alignment vertical="center"/>
      <protection hidden="1"/>
    </xf>
    <xf numFmtId="1" fontId="9" fillId="0" borderId="84" xfId="0" applyNumberFormat="1" applyFont="1" applyBorder="1" applyAlignment="1" applyProtection="1">
      <alignment vertical="center"/>
      <protection hidden="1"/>
    </xf>
    <xf numFmtId="1" fontId="9" fillId="0" borderId="3" xfId="0" applyNumberFormat="1" applyFont="1" applyBorder="1" applyAlignment="1" applyProtection="1">
      <alignment vertical="center"/>
      <protection hidden="1"/>
    </xf>
    <xf numFmtId="1" fontId="8" fillId="0" borderId="85" xfId="0" applyNumberFormat="1" applyFont="1" applyBorder="1" applyAlignment="1" applyProtection="1">
      <alignment vertical="center"/>
      <protection hidden="1"/>
    </xf>
    <xf numFmtId="1" fontId="8" fillId="0" borderId="83" xfId="0" applyNumberFormat="1" applyFont="1" applyBorder="1" applyAlignment="1" applyProtection="1">
      <alignment vertical="center"/>
      <protection hidden="1"/>
    </xf>
    <xf numFmtId="1" fontId="6" fillId="0" borderId="82" xfId="0" applyNumberFormat="1" applyFont="1" applyBorder="1" applyAlignment="1" applyProtection="1">
      <alignment vertical="center"/>
      <protection hidden="1"/>
    </xf>
    <xf numFmtId="165" fontId="69" fillId="10" borderId="88" xfId="0" applyNumberFormat="1" applyFont="1" applyFill="1" applyBorder="1" applyAlignment="1" applyProtection="1">
      <alignment vertical="center"/>
      <protection hidden="1"/>
    </xf>
    <xf numFmtId="165" fontId="69" fillId="10" borderId="89" xfId="0" applyNumberFormat="1" applyFont="1" applyFill="1" applyBorder="1" applyAlignment="1" applyProtection="1">
      <alignment vertical="center"/>
      <protection hidden="1"/>
    </xf>
    <xf numFmtId="0" fontId="6" fillId="0" borderId="33" xfId="0" applyFont="1" applyBorder="1" applyAlignment="1" applyProtection="1">
      <alignment vertical="center"/>
      <protection hidden="1"/>
    </xf>
    <xf numFmtId="0" fontId="6" fillId="0" borderId="20" xfId="0" applyFont="1" applyBorder="1" applyAlignment="1" applyProtection="1">
      <alignment vertical="center"/>
      <protection hidden="1"/>
    </xf>
    <xf numFmtId="1" fontId="12" fillId="0" borderId="0" xfId="0" applyNumberFormat="1" applyFont="1" applyAlignment="1" applyProtection="1">
      <alignment vertical="center"/>
      <protection hidden="1"/>
    </xf>
    <xf numFmtId="0" fontId="6" fillId="0" borderId="1" xfId="0" applyFont="1" applyBorder="1" applyAlignment="1" applyProtection="1">
      <alignment horizontal="centerContinuous" vertical="center"/>
      <protection hidden="1"/>
    </xf>
    <xf numFmtId="0" fontId="11" fillId="0" borderId="13" xfId="0" applyFont="1" applyBorder="1" applyAlignment="1" applyProtection="1">
      <alignment horizontal="centerContinuous"/>
      <protection hidden="1"/>
    </xf>
    <xf numFmtId="0" fontId="2" fillId="0" borderId="13" xfId="0" applyFont="1" applyBorder="1" applyAlignment="1" applyProtection="1">
      <alignment horizontal="centerContinuous" vertical="center"/>
      <protection hidden="1"/>
    </xf>
    <xf numFmtId="0" fontId="18" fillId="0" borderId="13" xfId="0" applyFont="1" applyBorder="1" applyAlignment="1" applyProtection="1">
      <alignment horizontal="centerContinuous" vertical="center"/>
      <protection hidden="1"/>
    </xf>
    <xf numFmtId="0" fontId="18" fillId="0" borderId="15" xfId="0" applyFont="1" applyBorder="1" applyAlignment="1" applyProtection="1">
      <alignment horizontal="centerContinuous" vertical="center"/>
      <protection hidden="1"/>
    </xf>
    <xf numFmtId="0" fontId="6" fillId="0" borderId="11" xfId="0" applyFont="1" applyBorder="1" applyAlignment="1" applyProtection="1">
      <alignment horizontal="center" vertical="center"/>
      <protection hidden="1"/>
    </xf>
    <xf numFmtId="0" fontId="2" fillId="0" borderId="90" xfId="0" applyFont="1" applyBorder="1" applyAlignment="1" applyProtection="1">
      <alignment horizontal="centerContinuous" vertical="center"/>
      <protection hidden="1"/>
    </xf>
    <xf numFmtId="0" fontId="18" fillId="0" borderId="26" xfId="0" applyFont="1" applyBorder="1" applyAlignment="1" applyProtection="1">
      <alignment horizontal="centerContinuous" vertical="center"/>
      <protection hidden="1"/>
    </xf>
    <xf numFmtId="0" fontId="11" fillId="0" borderId="0" xfId="0" applyFont="1" applyAlignment="1" applyProtection="1">
      <alignment horizontal="centerContinuous"/>
      <protection hidden="1"/>
    </xf>
    <xf numFmtId="0" fontId="2" fillId="0" borderId="0" xfId="0" applyFont="1" applyAlignment="1" applyProtection="1">
      <alignment horizontal="centerContinuous" vertical="center"/>
      <protection hidden="1"/>
    </xf>
    <xf numFmtId="0" fontId="18" fillId="0" borderId="0" xfId="0" applyFont="1" applyAlignment="1" applyProtection="1">
      <alignment horizontal="centerContinuous" vertical="center"/>
      <protection hidden="1"/>
    </xf>
    <xf numFmtId="0" fontId="18" fillId="0" borderId="16" xfId="0" applyFont="1" applyBorder="1" applyAlignment="1" applyProtection="1">
      <alignment horizontal="centerContinuous" vertical="center"/>
      <protection hidden="1"/>
    </xf>
    <xf numFmtId="0" fontId="6" fillId="0" borderId="28" xfId="0" applyFont="1" applyBorder="1" applyAlignment="1" applyProtection="1">
      <alignment horizontal="center" vertical="center"/>
      <protection hidden="1"/>
    </xf>
    <xf numFmtId="0" fontId="6" fillId="0" borderId="44" xfId="0" applyFont="1" applyBorder="1" applyAlignment="1" applyProtection="1">
      <alignment horizontal="center" vertical="center"/>
      <protection hidden="1"/>
    </xf>
    <xf numFmtId="0" fontId="6" fillId="0" borderId="45" xfId="0" applyFont="1" applyBorder="1" applyAlignment="1" applyProtection="1">
      <alignment horizontal="center" vertical="center"/>
      <protection hidden="1"/>
    </xf>
    <xf numFmtId="168" fontId="6" fillId="0" borderId="0" xfId="0" applyNumberFormat="1" applyFont="1" applyAlignment="1" applyProtection="1">
      <alignment horizontal="center" vertical="center"/>
      <protection hidden="1"/>
    </xf>
    <xf numFmtId="0" fontId="18" fillId="0" borderId="0" xfId="0" applyFont="1" applyProtection="1">
      <protection hidden="1"/>
    </xf>
    <xf numFmtId="1" fontId="6" fillId="0" borderId="0" xfId="0" applyNumberFormat="1" applyFont="1" applyProtection="1">
      <protection hidden="1"/>
    </xf>
    <xf numFmtId="0" fontId="6" fillId="0" borderId="0" xfId="0" applyFont="1" applyProtection="1">
      <protection locked="0" hidden="1"/>
    </xf>
    <xf numFmtId="0" fontId="12" fillId="0" borderId="1" xfId="0" applyFont="1" applyBorder="1" applyProtection="1">
      <protection hidden="1"/>
    </xf>
    <xf numFmtId="169" fontId="6" fillId="0" borderId="7" xfId="0" applyNumberFormat="1" applyFont="1" applyBorder="1" applyProtection="1">
      <protection hidden="1"/>
    </xf>
    <xf numFmtId="169" fontId="6" fillId="0" borderId="9" xfId="0" applyNumberFormat="1" applyFont="1" applyBorder="1" applyProtection="1">
      <protection hidden="1"/>
    </xf>
    <xf numFmtId="0" fontId="11" fillId="0" borderId="11" xfId="0" applyFont="1" applyBorder="1" applyProtection="1">
      <protection hidden="1"/>
    </xf>
    <xf numFmtId="0" fontId="12" fillId="0" borderId="2" xfId="0" applyFont="1" applyBorder="1" applyProtection="1">
      <protection hidden="1"/>
    </xf>
    <xf numFmtId="0" fontId="12" fillId="0" borderId="11" xfId="0" applyFont="1" applyBorder="1" applyProtection="1">
      <protection hidden="1"/>
    </xf>
    <xf numFmtId="169" fontId="6" fillId="0" borderId="8" xfId="0" applyNumberFormat="1" applyFont="1" applyBorder="1" applyProtection="1">
      <protection hidden="1"/>
    </xf>
    <xf numFmtId="0" fontId="10" fillId="0" borderId="99" xfId="0" applyFont="1" applyBorder="1" applyAlignment="1">
      <alignment vertical="center"/>
    </xf>
    <xf numFmtId="168" fontId="17" fillId="0" borderId="0" xfId="0" applyNumberFormat="1" applyFont="1" applyAlignment="1">
      <alignment vertical="center"/>
    </xf>
    <xf numFmtId="1" fontId="9" fillId="0" borderId="0" xfId="0" applyNumberFormat="1" applyFont="1"/>
    <xf numFmtId="1" fontId="8" fillId="0" borderId="0" xfId="0" quotePrefix="1" applyNumberFormat="1" applyFont="1" applyAlignment="1">
      <alignment horizontal="right"/>
    </xf>
    <xf numFmtId="1" fontId="9" fillId="0" borderId="0" xfId="0" applyNumberFormat="1" applyFont="1" applyProtection="1">
      <protection hidden="1"/>
    </xf>
    <xf numFmtId="1" fontId="8" fillId="0" borderId="0" xfId="0" applyNumberFormat="1" applyFont="1" applyProtection="1">
      <protection hidden="1"/>
    </xf>
    <xf numFmtId="1" fontId="18" fillId="0" borderId="0" xfId="0" applyNumberFormat="1" applyFont="1" applyAlignment="1" applyProtection="1">
      <alignment horizontal="right"/>
      <protection hidden="1"/>
    </xf>
    <xf numFmtId="1" fontId="18" fillId="0" borderId="0" xfId="0" applyNumberFormat="1" applyFont="1" applyProtection="1">
      <protection hidden="1"/>
    </xf>
    <xf numFmtId="1" fontId="11" fillId="0" borderId="0" xfId="0" applyNumberFormat="1" applyFont="1" applyAlignment="1" applyProtection="1">
      <alignment vertical="center"/>
      <protection hidden="1"/>
    </xf>
    <xf numFmtId="0" fontId="12" fillId="0" borderId="100" xfId="0" applyFont="1" applyBorder="1" applyAlignment="1">
      <alignment vertical="center"/>
    </xf>
    <xf numFmtId="0" fontId="6" fillId="0" borderId="100" xfId="0" applyFont="1" applyBorder="1" applyAlignment="1">
      <alignment vertical="center"/>
    </xf>
    <xf numFmtId="0" fontId="11" fillId="0" borderId="100" xfId="0" applyFont="1" applyBorder="1" applyAlignment="1">
      <alignment vertical="center"/>
    </xf>
    <xf numFmtId="168" fontId="17" fillId="0" borderId="100" xfId="0" applyNumberFormat="1" applyFont="1" applyBorder="1" applyAlignment="1">
      <alignment vertical="center"/>
    </xf>
    <xf numFmtId="1" fontId="6" fillId="0" borderId="101" xfId="0" applyNumberFormat="1" applyFont="1" applyBorder="1" applyAlignment="1" applyProtection="1">
      <alignment vertical="center"/>
      <protection hidden="1"/>
    </xf>
    <xf numFmtId="1" fontId="6" fillId="0" borderId="101" xfId="0" applyNumberFormat="1" applyFont="1" applyBorder="1" applyProtection="1">
      <protection hidden="1"/>
    </xf>
    <xf numFmtId="0" fontId="12" fillId="0" borderId="102" xfId="0" applyFont="1" applyBorder="1" applyAlignment="1">
      <alignment vertical="center"/>
    </xf>
    <xf numFmtId="1" fontId="9" fillId="0" borderId="103" xfId="0" applyNumberFormat="1" applyFont="1" applyBorder="1"/>
    <xf numFmtId="1" fontId="8" fillId="0" borderId="103" xfId="0" quotePrefix="1" applyNumberFormat="1" applyFont="1" applyBorder="1" applyAlignment="1">
      <alignment horizontal="right"/>
    </xf>
    <xf numFmtId="1" fontId="18" fillId="0" borderId="103" xfId="0" applyNumberFormat="1" applyFont="1" applyBorder="1" applyAlignment="1" applyProtection="1">
      <alignment horizontal="right"/>
      <protection hidden="1"/>
    </xf>
    <xf numFmtId="1" fontId="18" fillId="0" borderId="103" xfId="0" applyNumberFormat="1" applyFont="1" applyBorder="1" applyProtection="1">
      <protection hidden="1"/>
    </xf>
    <xf numFmtId="1" fontId="9" fillId="0" borderId="103" xfId="0" applyNumberFormat="1" applyFont="1" applyBorder="1" applyProtection="1">
      <protection hidden="1"/>
    </xf>
    <xf numFmtId="1" fontId="8" fillId="0" borderId="103" xfId="0" applyNumberFormat="1" applyFont="1" applyBorder="1" applyProtection="1">
      <protection hidden="1"/>
    </xf>
    <xf numFmtId="1" fontId="6" fillId="0" borderId="103" xfId="0" applyNumberFormat="1" applyFont="1" applyBorder="1" applyProtection="1">
      <protection hidden="1"/>
    </xf>
    <xf numFmtId="1" fontId="6" fillId="0" borderId="104" xfId="0" applyNumberFormat="1" applyFont="1" applyBorder="1" applyProtection="1">
      <protection hidden="1"/>
    </xf>
    <xf numFmtId="1" fontId="7" fillId="0" borderId="105" xfId="0" applyNumberFormat="1" applyFont="1" applyBorder="1" applyAlignment="1">
      <alignment horizontal="right" vertical="center"/>
    </xf>
    <xf numFmtId="1" fontId="18" fillId="0" borderId="105" xfId="0" applyNumberFormat="1" applyFont="1" applyBorder="1" applyAlignment="1">
      <alignment horizontal="left"/>
    </xf>
    <xf numFmtId="1" fontId="7" fillId="0" borderId="84" xfId="0" applyNumberFormat="1" applyFont="1" applyBorder="1" applyAlignment="1">
      <alignment vertical="center"/>
    </xf>
    <xf numFmtId="9" fontId="16" fillId="0" borderId="0" xfId="3" applyFont="1" applyFill="1" applyBorder="1" applyAlignment="1" applyProtection="1">
      <alignment vertical="center"/>
      <protection hidden="1"/>
    </xf>
    <xf numFmtId="0" fontId="27" fillId="0" borderId="107" xfId="0" applyFont="1" applyBorder="1"/>
    <xf numFmtId="173" fontId="6" fillId="0" borderId="0" xfId="0" applyNumberFormat="1" applyFont="1" applyAlignment="1">
      <alignment horizontal="center" vertical="center"/>
    </xf>
    <xf numFmtId="173" fontId="6" fillId="0" borderId="101" xfId="0" applyNumberFormat="1" applyFont="1" applyBorder="1" applyAlignment="1">
      <alignment horizontal="center" vertical="center"/>
    </xf>
    <xf numFmtId="0" fontId="6" fillId="0" borderId="0" xfId="0" applyFont="1" applyAlignment="1" applyProtection="1">
      <alignment vertical="center"/>
      <protection locked="0" hidden="1"/>
    </xf>
    <xf numFmtId="0" fontId="54" fillId="0" borderId="11" xfId="0" quotePrefix="1" applyFont="1" applyBorder="1" applyAlignment="1">
      <alignment horizontal="left" vertical="center"/>
    </xf>
    <xf numFmtId="0" fontId="107" fillId="0" borderId="0" xfId="0" applyFont="1"/>
    <xf numFmtId="168" fontId="6" fillId="0" borderId="0" xfId="0" applyNumberFormat="1" applyFont="1" applyProtection="1">
      <protection locked="0"/>
    </xf>
    <xf numFmtId="0" fontId="83" fillId="0" borderId="0" xfId="0" applyFont="1" applyAlignment="1">
      <alignment horizontal="right" vertical="center"/>
    </xf>
    <xf numFmtId="0" fontId="108" fillId="0" borderId="0" xfId="0" applyFont="1" applyProtection="1">
      <protection hidden="1"/>
    </xf>
    <xf numFmtId="0" fontId="109" fillId="0" borderId="0" xfId="0" applyFont="1" applyProtection="1">
      <protection hidden="1"/>
    </xf>
    <xf numFmtId="0" fontId="2" fillId="0" borderId="0" xfId="0" applyFont="1" applyAlignment="1">
      <alignment horizontal="left"/>
    </xf>
    <xf numFmtId="0" fontId="34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/>
    </xf>
    <xf numFmtId="0" fontId="30" fillId="0" borderId="0" xfId="0" applyFont="1" applyAlignment="1" applyProtection="1">
      <alignment vertical="center"/>
      <protection hidden="1"/>
    </xf>
    <xf numFmtId="0" fontId="83" fillId="11" borderId="7" xfId="0" applyFont="1" applyFill="1" applyBorder="1" applyAlignment="1">
      <alignment horizontal="center"/>
    </xf>
    <xf numFmtId="0" fontId="83" fillId="11" borderId="8" xfId="0" applyFont="1" applyFill="1" applyBorder="1" applyAlignment="1">
      <alignment horizontal="center"/>
    </xf>
    <xf numFmtId="168" fontId="6" fillId="11" borderId="9" xfId="0" applyNumberFormat="1" applyFont="1" applyFill="1" applyBorder="1" applyAlignment="1">
      <alignment horizontal="center" vertical="center"/>
    </xf>
    <xf numFmtId="168" fontId="6" fillId="11" borderId="8" xfId="0" applyNumberFormat="1" applyFont="1" applyFill="1" applyBorder="1" applyAlignment="1">
      <alignment horizontal="center" vertical="center"/>
    </xf>
    <xf numFmtId="173" fontId="13" fillId="0" borderId="5" xfId="0" applyNumberFormat="1" applyFont="1" applyBorder="1" applyAlignment="1">
      <alignment horizontal="centerContinuous" vertical="center"/>
    </xf>
    <xf numFmtId="0" fontId="119" fillId="0" borderId="0" xfId="0" applyFont="1" applyAlignment="1">
      <alignment horizontal="left"/>
    </xf>
    <xf numFmtId="0" fontId="27" fillId="0" borderId="0" xfId="0" applyFont="1" applyAlignment="1">
      <alignment horizontal="left" vertical="top"/>
    </xf>
    <xf numFmtId="0" fontId="101" fillId="0" borderId="0" xfId="0" applyFont="1" applyAlignment="1">
      <alignment horizontal="center"/>
    </xf>
    <xf numFmtId="0" fontId="101" fillId="0" borderId="7" xfId="0" applyFont="1" applyBorder="1" applyAlignment="1">
      <alignment horizontal="center"/>
    </xf>
    <xf numFmtId="0" fontId="101" fillId="0" borderId="9" xfId="0" applyFont="1" applyBorder="1" applyAlignment="1">
      <alignment horizontal="center"/>
    </xf>
    <xf numFmtId="0" fontId="97" fillId="0" borderId="8" xfId="0" applyFont="1" applyBorder="1" applyAlignment="1">
      <alignment horizontal="center"/>
    </xf>
    <xf numFmtId="0" fontId="6" fillId="0" borderId="0" xfId="0" quotePrefix="1" applyFont="1" applyAlignment="1" applyProtection="1">
      <alignment horizontal="center" vertical="center"/>
      <protection hidden="1"/>
    </xf>
    <xf numFmtId="0" fontId="6" fillId="0" borderId="14" xfId="0" applyFont="1" applyBorder="1" applyAlignment="1" applyProtection="1">
      <alignment vertical="center"/>
      <protection hidden="1"/>
    </xf>
    <xf numFmtId="0" fontId="6" fillId="0" borderId="14" xfId="0" applyFont="1" applyBorder="1" applyAlignment="1" applyProtection="1">
      <alignment horizontal="center" vertical="center"/>
      <protection hidden="1"/>
    </xf>
    <xf numFmtId="2" fontId="119" fillId="0" borderId="114" xfId="0" applyNumberFormat="1" applyFont="1" applyBorder="1" applyAlignment="1" applyProtection="1">
      <alignment horizontal="center" vertical="center"/>
      <protection hidden="1"/>
    </xf>
    <xf numFmtId="2" fontId="119" fillId="0" borderId="115" xfId="0" applyNumberFormat="1" applyFont="1" applyBorder="1" applyAlignment="1" applyProtection="1">
      <alignment horizontal="center" vertical="center"/>
      <protection hidden="1"/>
    </xf>
    <xf numFmtId="0" fontId="13" fillId="6" borderId="51" xfId="0" applyFont="1" applyFill="1" applyBorder="1" applyAlignment="1" applyProtection="1">
      <alignment horizontal="left" vertical="center"/>
      <protection hidden="1"/>
    </xf>
    <xf numFmtId="0" fontId="11" fillId="6" borderId="116" xfId="0" applyFont="1" applyFill="1" applyBorder="1" applyAlignment="1" applyProtection="1">
      <alignment horizontal="center" vertical="center"/>
      <protection hidden="1"/>
    </xf>
    <xf numFmtId="0" fontId="11" fillId="0" borderId="110" xfId="0" applyFont="1" applyBorder="1" applyAlignment="1" applyProtection="1">
      <alignment vertical="center"/>
      <protection hidden="1"/>
    </xf>
    <xf numFmtId="0" fontId="11" fillId="0" borderId="117" xfId="0" applyFont="1" applyBorder="1" applyAlignment="1" applyProtection="1">
      <alignment vertical="center"/>
      <protection hidden="1"/>
    </xf>
    <xf numFmtId="0" fontId="11" fillId="0" borderId="118" xfId="0" applyFont="1" applyBorder="1" applyAlignment="1" applyProtection="1">
      <alignment vertical="center"/>
      <protection hidden="1"/>
    </xf>
    <xf numFmtId="0" fontId="128" fillId="0" borderId="0" xfId="0" applyFont="1" applyProtection="1">
      <protection hidden="1"/>
    </xf>
    <xf numFmtId="0" fontId="11" fillId="0" borderId="16" xfId="0" applyFont="1" applyBorder="1" applyProtection="1">
      <protection hidden="1"/>
    </xf>
    <xf numFmtId="0" fontId="13" fillId="6" borderId="51" xfId="0" applyFont="1" applyFill="1" applyBorder="1" applyAlignment="1" applyProtection="1">
      <alignment vertical="center"/>
      <protection hidden="1"/>
    </xf>
    <xf numFmtId="0" fontId="13" fillId="0" borderId="119" xfId="0" applyFont="1" applyBorder="1" applyAlignment="1" applyProtection="1">
      <alignment horizontal="center" vertical="center"/>
      <protection hidden="1"/>
    </xf>
    <xf numFmtId="0" fontId="11" fillId="0" borderId="23" xfId="0" applyFont="1" applyBorder="1" applyAlignment="1" applyProtection="1">
      <alignment horizontal="centerContinuous" vertical="center"/>
      <protection hidden="1"/>
    </xf>
    <xf numFmtId="0" fontId="11" fillId="0" borderId="55" xfId="0" applyFont="1" applyBorder="1" applyAlignment="1" applyProtection="1">
      <alignment horizontal="centerContinuous" vertical="center"/>
      <protection hidden="1"/>
    </xf>
    <xf numFmtId="0" fontId="11" fillId="0" borderId="14" xfId="0" applyFont="1" applyBorder="1" applyAlignment="1" applyProtection="1">
      <alignment horizontal="center"/>
      <protection hidden="1"/>
    </xf>
    <xf numFmtId="0" fontId="11" fillId="0" borderId="11" xfId="0" applyFont="1" applyBorder="1" applyAlignment="1" applyProtection="1">
      <alignment horizontal="center"/>
      <protection hidden="1"/>
    </xf>
    <xf numFmtId="0" fontId="11" fillId="0" borderId="12" xfId="0" applyFont="1" applyBorder="1" applyAlignment="1" applyProtection="1">
      <alignment horizontal="center"/>
      <protection hidden="1"/>
    </xf>
    <xf numFmtId="0" fontId="13" fillId="0" borderId="0" xfId="0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 vertical="center"/>
      <protection hidden="1"/>
    </xf>
    <xf numFmtId="2" fontId="124" fillId="0" borderId="0" xfId="0" applyNumberFormat="1" applyFont="1" applyAlignment="1" applyProtection="1">
      <alignment vertical="center"/>
      <protection hidden="1"/>
    </xf>
    <xf numFmtId="0" fontId="127" fillId="0" borderId="0" xfId="0" applyFont="1" applyAlignment="1" applyProtection="1">
      <alignment horizontal="right" vertical="center"/>
      <protection hidden="1"/>
    </xf>
    <xf numFmtId="0" fontId="27" fillId="0" borderId="0" xfId="0" applyFont="1" applyAlignment="1" applyProtection="1">
      <alignment horizontal="center" vertical="center"/>
      <protection hidden="1"/>
    </xf>
    <xf numFmtId="165" fontId="27" fillId="0" borderId="0" xfId="0" applyNumberFormat="1" applyFont="1" applyAlignment="1" applyProtection="1">
      <alignment horizontal="center" vertical="center"/>
      <protection hidden="1"/>
    </xf>
    <xf numFmtId="10" fontId="125" fillId="0" borderId="0" xfId="3" applyNumberFormat="1" applyFont="1" applyBorder="1" applyAlignment="1" applyProtection="1">
      <alignment horizontal="center" vertical="center"/>
      <protection hidden="1"/>
    </xf>
    <xf numFmtId="2" fontId="119" fillId="0" borderId="0" xfId="0" applyNumberFormat="1" applyFont="1" applyAlignment="1" applyProtection="1">
      <alignment horizontal="center" vertical="center"/>
      <protection hidden="1"/>
    </xf>
    <xf numFmtId="165" fontId="11" fillId="0" borderId="94" xfId="0" applyNumberFormat="1" applyFont="1" applyBorder="1" applyAlignment="1" applyProtection="1">
      <alignment vertical="center"/>
      <protection hidden="1"/>
    </xf>
    <xf numFmtId="0" fontId="11" fillId="0" borderId="33" xfId="0" applyFont="1" applyBorder="1" applyAlignment="1" applyProtection="1">
      <alignment vertical="center"/>
      <protection hidden="1"/>
    </xf>
    <xf numFmtId="0" fontId="11" fillId="0" borderId="120" xfId="0" applyFont="1" applyBorder="1" applyAlignment="1" applyProtection="1">
      <alignment vertical="center"/>
      <protection hidden="1"/>
    </xf>
    <xf numFmtId="0" fontId="97" fillId="0" borderId="0" xfId="0" applyFont="1" applyAlignment="1" applyProtection="1">
      <alignment horizontal="right" vertical="center"/>
      <protection hidden="1"/>
    </xf>
    <xf numFmtId="0" fontId="124" fillId="0" borderId="78" xfId="0" applyFont="1" applyBorder="1" applyAlignment="1" applyProtection="1">
      <alignment horizontal="center" vertical="center"/>
      <protection hidden="1"/>
    </xf>
    <xf numFmtId="0" fontId="11" fillId="0" borderId="20" xfId="0" applyFont="1" applyBorder="1" applyAlignment="1" applyProtection="1">
      <alignment horizontal="center" vertical="center"/>
      <protection hidden="1"/>
    </xf>
    <xf numFmtId="165" fontId="11" fillId="0" borderId="95" xfId="0" applyNumberFormat="1" applyFont="1" applyBorder="1" applyAlignment="1" applyProtection="1">
      <alignment horizontal="center" vertical="center"/>
      <protection hidden="1"/>
    </xf>
    <xf numFmtId="0" fontId="11" fillId="0" borderId="121" xfId="0" applyFont="1" applyBorder="1" applyAlignment="1" applyProtection="1">
      <alignment horizontal="center" vertical="center"/>
      <protection hidden="1"/>
    </xf>
    <xf numFmtId="0" fontId="11" fillId="0" borderId="122" xfId="0" applyFont="1" applyBorder="1" applyAlignment="1" applyProtection="1">
      <alignment horizontal="center" vertical="center"/>
      <protection hidden="1"/>
    </xf>
    <xf numFmtId="10" fontId="97" fillId="0" borderId="123" xfId="3" applyNumberFormat="1" applyFont="1" applyBorder="1" applyAlignment="1" applyProtection="1">
      <alignment vertical="center"/>
      <protection hidden="1"/>
    </xf>
    <xf numFmtId="10" fontId="97" fillId="0" borderId="122" xfId="3" applyNumberFormat="1" applyFont="1" applyBorder="1" applyAlignment="1" applyProtection="1">
      <alignment vertical="center"/>
      <protection hidden="1"/>
    </xf>
    <xf numFmtId="0" fontId="11" fillId="0" borderId="50" xfId="0" applyFont="1" applyBorder="1" applyAlignment="1" applyProtection="1">
      <alignment vertical="center"/>
      <protection hidden="1"/>
    </xf>
    <xf numFmtId="0" fontId="11" fillId="0" borderId="124" xfId="0" applyFont="1" applyBorder="1" applyAlignment="1" applyProtection="1">
      <alignment vertical="center"/>
      <protection hidden="1"/>
    </xf>
    <xf numFmtId="0" fontId="11" fillId="0" borderId="31" xfId="0" applyFont="1" applyBorder="1" applyAlignment="1" applyProtection="1">
      <alignment vertical="center"/>
      <protection hidden="1"/>
    </xf>
    <xf numFmtId="0" fontId="11" fillId="0" borderId="30" xfId="0" applyFont="1" applyBorder="1" applyAlignment="1" applyProtection="1">
      <alignment vertical="center"/>
      <protection hidden="1"/>
    </xf>
    <xf numFmtId="0" fontId="11" fillId="0" borderId="49" xfId="0" applyFont="1" applyBorder="1" applyAlignment="1" applyProtection="1">
      <alignment vertical="center"/>
      <protection hidden="1"/>
    </xf>
    <xf numFmtId="0" fontId="127" fillId="0" borderId="0" xfId="0" applyFont="1" applyAlignment="1" applyProtection="1">
      <alignment vertical="center"/>
      <protection hidden="1"/>
    </xf>
    <xf numFmtId="165" fontId="11" fillId="0" borderId="0" xfId="0" applyNumberFormat="1" applyFont="1" applyAlignment="1" applyProtection="1">
      <alignment vertical="center"/>
      <protection hidden="1"/>
    </xf>
    <xf numFmtId="0" fontId="97" fillId="0" borderId="0" xfId="0" applyFont="1" applyAlignment="1" applyProtection="1">
      <alignment vertical="center"/>
      <protection hidden="1"/>
    </xf>
    <xf numFmtId="167" fontId="11" fillId="0" borderId="0" xfId="0" applyNumberFormat="1" applyFont="1" applyProtection="1">
      <protection hidden="1"/>
    </xf>
    <xf numFmtId="0" fontId="11" fillId="0" borderId="0" xfId="0" applyFont="1" applyProtection="1">
      <protection locked="0" hidden="1"/>
    </xf>
    <xf numFmtId="0" fontId="74" fillId="0" borderId="0" xfId="0" applyFont="1" applyProtection="1">
      <protection hidden="1"/>
    </xf>
    <xf numFmtId="0" fontId="129" fillId="0" borderId="0" xfId="0" applyFont="1" applyProtection="1">
      <protection hidden="1"/>
    </xf>
    <xf numFmtId="49" fontId="130" fillId="0" borderId="0" xfId="0" applyNumberFormat="1" applyFont="1" applyAlignment="1" applyProtection="1">
      <alignment vertical="center"/>
      <protection hidden="1"/>
    </xf>
    <xf numFmtId="49" fontId="130" fillId="0" borderId="0" xfId="0" applyNumberFormat="1" applyFont="1" applyProtection="1">
      <protection hidden="1"/>
    </xf>
    <xf numFmtId="1" fontId="6" fillId="0" borderId="0" xfId="0" quotePrefix="1" applyNumberFormat="1" applyFont="1" applyAlignment="1" applyProtection="1">
      <alignment horizontal="center" vertical="center"/>
      <protection hidden="1"/>
    </xf>
    <xf numFmtId="1" fontId="43" fillId="0" borderId="0" xfId="0" applyNumberFormat="1" applyFont="1" applyAlignment="1" applyProtection="1">
      <alignment horizontal="right"/>
      <protection hidden="1"/>
    </xf>
    <xf numFmtId="0" fontId="15" fillId="0" borderId="44" xfId="0" applyFont="1" applyBorder="1" applyAlignment="1" applyProtection="1">
      <alignment vertical="center"/>
      <protection hidden="1"/>
    </xf>
    <xf numFmtId="0" fontId="15" fillId="0" borderId="14" xfId="0" applyFont="1" applyBorder="1" applyAlignment="1" applyProtection="1">
      <alignment vertical="center"/>
      <protection hidden="1"/>
    </xf>
    <xf numFmtId="1" fontId="9" fillId="0" borderId="0" xfId="0" applyNumberFormat="1" applyFont="1" applyAlignment="1" applyProtection="1">
      <alignment vertical="center"/>
      <protection hidden="1"/>
    </xf>
    <xf numFmtId="1" fontId="43" fillId="0" borderId="0" xfId="0" applyNumberFormat="1" applyFont="1" applyAlignment="1" applyProtection="1">
      <alignment horizontal="right" vertical="center"/>
      <protection hidden="1"/>
    </xf>
    <xf numFmtId="1" fontId="15" fillId="12" borderId="0" xfId="0" applyNumberFormat="1" applyFont="1" applyFill="1" applyProtection="1">
      <protection locked="0"/>
    </xf>
    <xf numFmtId="1" fontId="43" fillId="0" borderId="0" xfId="0" applyNumberFormat="1" applyFont="1" applyProtection="1">
      <protection hidden="1"/>
    </xf>
    <xf numFmtId="1" fontId="15" fillId="0" borderId="0" xfId="0" quotePrefix="1" applyNumberFormat="1" applyFont="1" applyAlignment="1" applyProtection="1">
      <alignment horizontal="right"/>
      <protection hidden="1"/>
    </xf>
    <xf numFmtId="0" fontId="137" fillId="0" borderId="0" xfId="0" applyFont="1" applyAlignment="1" applyProtection="1">
      <alignment vertical="center"/>
      <protection hidden="1"/>
    </xf>
    <xf numFmtId="1" fontId="43" fillId="0" borderId="0" xfId="0" applyNumberFormat="1" applyFont="1" applyAlignment="1" applyProtection="1">
      <alignment vertical="center"/>
      <protection hidden="1"/>
    </xf>
    <xf numFmtId="1" fontId="43" fillId="0" borderId="0" xfId="0" quotePrefix="1" applyNumberFormat="1" applyFont="1" applyAlignment="1" applyProtection="1">
      <alignment horizontal="right" vertical="center"/>
      <protection hidden="1"/>
    </xf>
    <xf numFmtId="1" fontId="15" fillId="0" borderId="14" xfId="0" applyNumberFormat="1" applyFont="1" applyBorder="1" applyProtection="1">
      <protection hidden="1"/>
    </xf>
    <xf numFmtId="1" fontId="6" fillId="0" borderId="109" xfId="0" applyNumberFormat="1" applyFont="1" applyBorder="1" applyAlignment="1" applyProtection="1">
      <alignment horizontal="center"/>
      <protection hidden="1"/>
    </xf>
    <xf numFmtId="0" fontId="11" fillId="0" borderId="0" xfId="0" applyFont="1" applyProtection="1">
      <protection locked="0"/>
    </xf>
    <xf numFmtId="0" fontId="97" fillId="0" borderId="0" xfId="0" applyFont="1" applyProtection="1"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6" fillId="0" borderId="6" xfId="0" applyFont="1" applyBorder="1" applyAlignment="1" applyProtection="1">
      <alignment vertical="center"/>
      <protection hidden="1"/>
    </xf>
    <xf numFmtId="0" fontId="6" fillId="0" borderId="4" xfId="0" applyFont="1" applyBorder="1" applyAlignment="1" applyProtection="1">
      <alignment vertical="center"/>
      <protection hidden="1"/>
    </xf>
    <xf numFmtId="0" fontId="6" fillId="0" borderId="17" xfId="0" applyFont="1" applyBorder="1" applyAlignment="1" applyProtection="1">
      <alignment vertical="center"/>
      <protection hidden="1"/>
    </xf>
    <xf numFmtId="0" fontId="6" fillId="0" borderId="1" xfId="0" applyFont="1" applyBorder="1" applyAlignment="1">
      <alignment vertical="center"/>
    </xf>
    <xf numFmtId="1" fontId="6" fillId="0" borderId="7" xfId="0" applyNumberFormat="1" applyFont="1" applyBorder="1" applyAlignment="1" applyProtection="1">
      <alignment horizontal="center" vertical="center"/>
      <protection hidden="1"/>
    </xf>
    <xf numFmtId="1" fontId="6" fillId="0" borderId="9" xfId="0" applyNumberFormat="1" applyFont="1" applyBorder="1" applyAlignment="1" applyProtection="1">
      <alignment horizontal="center" vertical="center"/>
      <protection hidden="1"/>
    </xf>
    <xf numFmtId="1" fontId="6" fillId="0" borderId="8" xfId="0" applyNumberFormat="1" applyFont="1" applyBorder="1" applyAlignment="1" applyProtection="1">
      <alignment horizontal="center" vertical="center"/>
      <protection hidden="1"/>
    </xf>
    <xf numFmtId="0" fontId="83" fillId="0" borderId="0" xfId="0" applyFont="1" applyAlignment="1" applyProtection="1">
      <alignment horizontal="center" vertical="center"/>
      <protection hidden="1"/>
    </xf>
    <xf numFmtId="0" fontId="6" fillId="4" borderId="4" xfId="0" applyFont="1" applyFill="1" applyBorder="1" applyAlignment="1" applyProtection="1">
      <alignment vertical="center"/>
      <protection hidden="1"/>
    </xf>
    <xf numFmtId="0" fontId="105" fillId="0" borderId="6" xfId="0" applyFont="1" applyBorder="1" applyAlignment="1" applyProtection="1">
      <alignment horizontal="left" vertical="center"/>
      <protection hidden="1"/>
    </xf>
    <xf numFmtId="0" fontId="105" fillId="0" borderId="4" xfId="0" applyFont="1" applyBorder="1" applyAlignment="1" applyProtection="1">
      <alignment horizontal="left" vertical="center"/>
      <protection hidden="1"/>
    </xf>
    <xf numFmtId="170" fontId="2" fillId="0" borderId="6" xfId="0" applyNumberFormat="1" applyFont="1" applyBorder="1" applyAlignment="1" applyProtection="1">
      <alignment horizontal="center" vertical="center"/>
      <protection hidden="1"/>
    </xf>
    <xf numFmtId="170" fontId="2" fillId="0" borderId="71" xfId="0" applyNumberFormat="1" applyFont="1" applyBorder="1" applyAlignment="1" applyProtection="1">
      <alignment horizontal="center" vertical="center"/>
      <protection hidden="1"/>
    </xf>
    <xf numFmtId="170" fontId="2" fillId="0" borderId="66" xfId="0" applyNumberFormat="1" applyFont="1" applyBorder="1" applyAlignment="1" applyProtection="1">
      <alignment horizontal="center" vertical="center"/>
      <protection hidden="1"/>
    </xf>
    <xf numFmtId="170" fontId="2" fillId="0" borderId="125" xfId="0" applyNumberFormat="1" applyFont="1" applyBorder="1" applyAlignment="1" applyProtection="1">
      <alignment horizontal="center" vertical="center"/>
      <protection hidden="1"/>
    </xf>
    <xf numFmtId="2" fontId="2" fillId="0" borderId="0" xfId="0" applyNumberFormat="1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170" fontId="2" fillId="0" borderId="126" xfId="0" applyNumberFormat="1" applyFont="1" applyBorder="1" applyAlignment="1" applyProtection="1">
      <alignment horizontal="center" vertical="center"/>
      <protection hidden="1"/>
    </xf>
    <xf numFmtId="170" fontId="2" fillId="0" borderId="127" xfId="0" applyNumberFormat="1" applyFont="1" applyBorder="1" applyAlignment="1" applyProtection="1">
      <alignment horizontal="center" vertical="center"/>
      <protection hidden="1"/>
    </xf>
    <xf numFmtId="0" fontId="83" fillId="0" borderId="9" xfId="0" applyFont="1" applyBorder="1" applyAlignment="1">
      <alignment horizontal="centerContinuous" vertical="center"/>
    </xf>
    <xf numFmtId="0" fontId="83" fillId="0" borderId="8" xfId="0" applyFont="1" applyBorder="1" applyAlignment="1">
      <alignment horizontal="centerContinuous" vertical="center"/>
    </xf>
    <xf numFmtId="2" fontId="6" fillId="3" borderId="106" xfId="0" applyNumberFormat="1" applyFont="1" applyFill="1" applyBorder="1" applyAlignment="1" applyProtection="1">
      <alignment horizontal="center"/>
      <protection locked="0" hidden="1"/>
    </xf>
    <xf numFmtId="2" fontId="6" fillId="3" borderId="92" xfId="0" applyNumberFormat="1" applyFont="1" applyFill="1" applyBorder="1" applyAlignment="1" applyProtection="1">
      <alignment horizontal="center"/>
      <protection locked="0" hidden="1"/>
    </xf>
    <xf numFmtId="2" fontId="6" fillId="3" borderId="93" xfId="0" applyNumberFormat="1" applyFont="1" applyFill="1" applyBorder="1" applyAlignment="1" applyProtection="1">
      <alignment horizontal="center"/>
      <protection locked="0" hidden="1"/>
    </xf>
    <xf numFmtId="2" fontId="6" fillId="3" borderId="31" xfId="0" applyNumberFormat="1" applyFont="1" applyFill="1" applyBorder="1" applyAlignment="1" applyProtection="1">
      <alignment horizontal="center"/>
      <protection locked="0" hidden="1"/>
    </xf>
    <xf numFmtId="2" fontId="6" fillId="3" borderId="50" xfId="0" applyNumberFormat="1" applyFont="1" applyFill="1" applyBorder="1" applyAlignment="1" applyProtection="1">
      <alignment horizontal="center"/>
      <protection locked="0" hidden="1"/>
    </xf>
    <xf numFmtId="2" fontId="6" fillId="3" borderId="59" xfId="0" applyNumberFormat="1" applyFont="1" applyFill="1" applyBorder="1" applyAlignment="1" applyProtection="1">
      <alignment horizontal="center"/>
      <protection locked="0" hidden="1"/>
    </xf>
    <xf numFmtId="2" fontId="6" fillId="3" borderId="11" xfId="0" applyNumberFormat="1" applyFont="1" applyFill="1" applyBorder="1" applyAlignment="1" applyProtection="1">
      <alignment horizontal="center"/>
      <protection locked="0" hidden="1"/>
    </xf>
    <xf numFmtId="2" fontId="6" fillId="3" borderId="44" xfId="0" applyNumberFormat="1" applyFont="1" applyFill="1" applyBorder="1" applyAlignment="1" applyProtection="1">
      <alignment horizontal="center"/>
      <protection locked="0" hidden="1"/>
    </xf>
    <xf numFmtId="2" fontId="6" fillId="3" borderId="45" xfId="0" applyNumberFormat="1" applyFont="1" applyFill="1" applyBorder="1" applyAlignment="1" applyProtection="1">
      <alignment horizontal="center"/>
      <protection locked="0" hidden="1"/>
    </xf>
    <xf numFmtId="0" fontId="52" fillId="2" borderId="0" xfId="0" applyFont="1" applyFill="1" applyAlignment="1" applyProtection="1">
      <alignment horizontal="center" vertical="top"/>
      <protection hidden="1"/>
    </xf>
    <xf numFmtId="0" fontId="2" fillId="0" borderId="5" xfId="0" applyFont="1" applyBorder="1" applyAlignment="1" applyProtection="1">
      <alignment horizontal="centerContinuous"/>
      <protection hidden="1"/>
    </xf>
    <xf numFmtId="10" fontId="113" fillId="0" borderId="20" xfId="3" applyNumberFormat="1" applyFont="1" applyBorder="1" applyAlignment="1" applyProtection="1">
      <alignment horizontal="center" vertical="center"/>
      <protection hidden="1"/>
    </xf>
    <xf numFmtId="167" fontId="113" fillId="0" borderId="95" xfId="3" applyNumberFormat="1" applyFont="1" applyBorder="1" applyAlignment="1" applyProtection="1">
      <alignment horizontal="center" vertical="center"/>
      <protection hidden="1"/>
    </xf>
    <xf numFmtId="0" fontId="106" fillId="0" borderId="108" xfId="0" applyFont="1" applyBorder="1" applyAlignment="1" applyProtection="1">
      <alignment horizontal="center"/>
      <protection hidden="1"/>
    </xf>
    <xf numFmtId="0" fontId="106" fillId="0" borderId="14" xfId="0" applyFont="1" applyBorder="1" applyAlignment="1" applyProtection="1">
      <alignment horizontal="center"/>
      <protection hidden="1"/>
    </xf>
    <xf numFmtId="0" fontId="106" fillId="0" borderId="45" xfId="0" applyFont="1" applyBorder="1" applyAlignment="1" applyProtection="1">
      <alignment horizontal="center"/>
      <protection hidden="1"/>
    </xf>
    <xf numFmtId="0" fontId="13" fillId="0" borderId="14" xfId="0" applyFont="1" applyBorder="1" applyAlignment="1" applyProtection="1">
      <alignment horizontal="center"/>
      <protection hidden="1"/>
    </xf>
    <xf numFmtId="0" fontId="13" fillId="0" borderId="45" xfId="0" applyFont="1" applyBorder="1" applyAlignment="1" applyProtection="1">
      <alignment horizontal="center"/>
      <protection hidden="1"/>
    </xf>
    <xf numFmtId="0" fontId="13" fillId="0" borderId="128" xfId="0" applyFont="1" applyBorder="1" applyAlignment="1" applyProtection="1">
      <alignment horizontal="center"/>
      <protection hidden="1"/>
    </xf>
    <xf numFmtId="0" fontId="13" fillId="0" borderId="0" xfId="0" applyFont="1" applyAlignment="1" applyProtection="1">
      <alignment horizontal="center"/>
      <protection hidden="1"/>
    </xf>
    <xf numFmtId="0" fontId="13" fillId="0" borderId="56" xfId="0" applyFont="1" applyBorder="1" applyAlignment="1" applyProtection="1">
      <alignment horizontal="center"/>
      <protection hidden="1"/>
    </xf>
    <xf numFmtId="0" fontId="109" fillId="0" borderId="11" xfId="0" applyFont="1" applyBorder="1" applyAlignment="1" applyProtection="1">
      <alignment horizontal="center"/>
      <protection hidden="1"/>
    </xf>
    <xf numFmtId="0" fontId="109" fillId="0" borderId="12" xfId="0" applyFont="1" applyBorder="1" applyAlignment="1" applyProtection="1">
      <alignment horizontal="center"/>
      <protection hidden="1"/>
    </xf>
    <xf numFmtId="0" fontId="126" fillId="0" borderId="2" xfId="0" applyFont="1" applyBorder="1" applyAlignment="1" applyProtection="1">
      <alignment horizontal="center"/>
      <protection hidden="1"/>
    </xf>
    <xf numFmtId="0" fontId="126" fillId="0" borderId="16" xfId="0" applyFont="1" applyBorder="1" applyAlignment="1" applyProtection="1">
      <alignment horizontal="center"/>
      <protection hidden="1"/>
    </xf>
    <xf numFmtId="0" fontId="97" fillId="0" borderId="70" xfId="0" applyFont="1" applyBorder="1" applyAlignment="1" applyProtection="1">
      <alignment horizontal="center" vertical="center"/>
      <protection hidden="1"/>
    </xf>
    <xf numFmtId="165" fontId="13" fillId="0" borderId="26" xfId="0" applyNumberFormat="1" applyFont="1" applyBorder="1" applyAlignment="1" applyProtection="1">
      <alignment horizontal="center" vertical="center"/>
      <protection hidden="1"/>
    </xf>
    <xf numFmtId="0" fontId="13" fillId="0" borderId="39" xfId="0" applyFont="1" applyBorder="1" applyAlignment="1" applyProtection="1">
      <alignment horizontal="center" vertical="center"/>
      <protection hidden="1"/>
    </xf>
    <xf numFmtId="0" fontId="13" fillId="0" borderId="129" xfId="0" applyFont="1" applyBorder="1" applyAlignment="1" applyProtection="1">
      <alignment horizontal="center" vertical="center"/>
      <protection hidden="1"/>
    </xf>
    <xf numFmtId="0" fontId="13" fillId="0" borderId="130" xfId="0" applyFont="1" applyBorder="1" applyAlignment="1" applyProtection="1">
      <alignment horizontal="center" vertical="center"/>
      <protection hidden="1"/>
    </xf>
    <xf numFmtId="0" fontId="97" fillId="0" borderId="23" xfId="0" applyFont="1" applyBorder="1" applyAlignment="1" applyProtection="1">
      <alignment horizontal="centerContinuous" vertical="center"/>
      <protection hidden="1"/>
    </xf>
    <xf numFmtId="165" fontId="97" fillId="0" borderId="131" xfId="0" applyNumberFormat="1" applyFont="1" applyBorder="1" applyAlignment="1" applyProtection="1">
      <alignment horizontal="centerContinuous" vertical="center"/>
      <protection hidden="1"/>
    </xf>
    <xf numFmtId="0" fontId="119" fillId="0" borderId="31" xfId="0" applyFont="1" applyBorder="1" applyAlignment="1" applyProtection="1">
      <alignment horizontal="center" vertical="center"/>
      <protection hidden="1"/>
    </xf>
    <xf numFmtId="0" fontId="119" fillId="0" borderId="30" xfId="0" applyFont="1" applyBorder="1" applyAlignment="1" applyProtection="1">
      <alignment horizontal="center" vertical="center"/>
      <protection hidden="1"/>
    </xf>
    <xf numFmtId="0" fontId="10" fillId="7" borderId="7" xfId="0" applyFont="1" applyFill="1" applyBorder="1" applyAlignment="1">
      <alignment horizontal="center" vertical="center"/>
    </xf>
    <xf numFmtId="0" fontId="83" fillId="7" borderId="8" xfId="0" applyFont="1" applyFill="1" applyBorder="1" applyAlignment="1">
      <alignment horizontal="center" vertical="center"/>
    </xf>
    <xf numFmtId="2" fontId="101" fillId="0" borderId="118" xfId="0" applyNumberFormat="1" applyFont="1" applyBorder="1" applyAlignment="1" applyProtection="1">
      <alignment horizontal="center" vertical="center"/>
      <protection hidden="1"/>
    </xf>
    <xf numFmtId="0" fontId="101" fillId="0" borderId="118" xfId="0" applyFont="1" applyBorder="1" applyAlignment="1" applyProtection="1">
      <alignment horizontal="center" vertical="center"/>
      <protection hidden="1"/>
    </xf>
    <xf numFmtId="0" fontId="124" fillId="0" borderId="118" xfId="0" applyFont="1" applyBorder="1" applyAlignment="1" applyProtection="1">
      <alignment horizontal="center" vertical="center"/>
      <protection hidden="1"/>
    </xf>
    <xf numFmtId="0" fontId="11" fillId="13" borderId="0" xfId="0" applyFont="1" applyFill="1"/>
    <xf numFmtId="0" fontId="11" fillId="14" borderId="0" xfId="0" applyFont="1" applyFill="1"/>
    <xf numFmtId="0" fontId="11" fillId="7" borderId="0" xfId="0" applyFont="1" applyFill="1"/>
    <xf numFmtId="0" fontId="11" fillId="0" borderId="14" xfId="0" applyFont="1" applyBorder="1"/>
    <xf numFmtId="0" fontId="11" fillId="0" borderId="0" xfId="0" applyFont="1" applyAlignment="1" applyProtection="1">
      <alignment horizontal="center"/>
      <protection hidden="1"/>
    </xf>
    <xf numFmtId="0" fontId="11" fillId="0" borderId="2" xfId="0" applyFont="1" applyBorder="1"/>
    <xf numFmtId="0" fontId="11" fillId="0" borderId="11" xfId="0" applyFont="1" applyBorder="1"/>
    <xf numFmtId="0" fontId="11" fillId="0" borderId="14" xfId="0" applyFont="1" applyBorder="1" applyProtection="1">
      <protection hidden="1"/>
    </xf>
    <xf numFmtId="0" fontId="119" fillId="0" borderId="0" xfId="0" applyFont="1" applyProtection="1">
      <protection hidden="1"/>
    </xf>
    <xf numFmtId="0" fontId="11" fillId="0" borderId="132" xfId="0" applyFont="1" applyBorder="1" applyAlignment="1" applyProtection="1">
      <alignment vertical="center"/>
      <protection hidden="1"/>
    </xf>
    <xf numFmtId="0" fontId="27" fillId="0" borderId="0" xfId="0" applyFont="1" applyProtection="1">
      <protection hidden="1"/>
    </xf>
    <xf numFmtId="0" fontId="11" fillId="6" borderId="133" xfId="0" applyFont="1" applyFill="1" applyBorder="1" applyAlignment="1" applyProtection="1">
      <alignment vertical="center"/>
      <protection hidden="1"/>
    </xf>
    <xf numFmtId="0" fontId="11" fillId="6" borderId="133" xfId="0" applyFont="1" applyFill="1" applyBorder="1" applyAlignment="1" applyProtection="1">
      <alignment horizontal="left" vertical="center"/>
      <protection hidden="1"/>
    </xf>
    <xf numFmtId="0" fontId="11" fillId="0" borderId="109" xfId="0" applyFont="1" applyBorder="1" applyAlignment="1" applyProtection="1">
      <alignment horizontal="center"/>
      <protection hidden="1"/>
    </xf>
    <xf numFmtId="0" fontId="11" fillId="0" borderId="45" xfId="0" applyFont="1" applyBorder="1" applyAlignment="1" applyProtection="1">
      <alignment horizontal="center"/>
      <protection hidden="1"/>
    </xf>
    <xf numFmtId="0" fontId="11" fillId="0" borderId="135" xfId="0" applyFont="1" applyBorder="1" applyAlignment="1" applyProtection="1">
      <alignment vertical="center"/>
      <protection hidden="1"/>
    </xf>
    <xf numFmtId="0" fontId="11" fillId="0" borderId="129" xfId="0" applyFont="1" applyBorder="1" applyAlignment="1" applyProtection="1">
      <alignment horizontal="center"/>
      <protection hidden="1"/>
    </xf>
    <xf numFmtId="0" fontId="11" fillId="0" borderId="16" xfId="0" applyFont="1" applyBorder="1" applyAlignment="1" applyProtection="1">
      <alignment horizontal="center"/>
      <protection hidden="1"/>
    </xf>
    <xf numFmtId="0" fontId="11" fillId="0" borderId="56" xfId="0" applyFont="1" applyBorder="1" applyAlignment="1" applyProtection="1">
      <alignment horizontal="center"/>
      <protection hidden="1"/>
    </xf>
    <xf numFmtId="10" fontId="11" fillId="0" borderId="0" xfId="3" applyNumberFormat="1" applyFont="1" applyBorder="1" applyAlignment="1" applyProtection="1">
      <alignment horizontal="center"/>
      <protection hidden="1"/>
    </xf>
    <xf numFmtId="167" fontId="11" fillId="0" borderId="56" xfId="3" applyNumberFormat="1" applyFont="1" applyBorder="1" applyAlignment="1" applyProtection="1">
      <alignment horizontal="center"/>
      <protection hidden="1"/>
    </xf>
    <xf numFmtId="2" fontId="11" fillId="0" borderId="56" xfId="0" applyNumberFormat="1" applyFont="1" applyBorder="1" applyAlignment="1" applyProtection="1">
      <alignment horizontal="center"/>
      <protection hidden="1"/>
    </xf>
    <xf numFmtId="2" fontId="11" fillId="0" borderId="94" xfId="0" applyNumberFormat="1" applyFont="1" applyBorder="1" applyAlignment="1" applyProtection="1">
      <alignment vertical="center"/>
      <protection hidden="1"/>
    </xf>
    <xf numFmtId="10" fontId="11" fillId="0" borderId="14" xfId="3" applyNumberFormat="1" applyFont="1" applyBorder="1" applyAlignment="1" applyProtection="1">
      <alignment horizontal="center"/>
      <protection hidden="1"/>
    </xf>
    <xf numFmtId="167" fontId="11" fillId="0" borderId="45" xfId="3" applyNumberFormat="1" applyFont="1" applyBorder="1" applyAlignment="1" applyProtection="1">
      <alignment horizontal="center"/>
      <protection hidden="1"/>
    </xf>
    <xf numFmtId="0" fontId="101" fillId="0" borderId="0" xfId="0" applyFont="1"/>
    <xf numFmtId="0" fontId="110" fillId="0" borderId="79" xfId="0" applyFont="1" applyBorder="1" applyAlignment="1" applyProtection="1">
      <alignment horizontal="center" vertical="center"/>
      <protection hidden="1"/>
    </xf>
    <xf numFmtId="0" fontId="11" fillId="0" borderId="79" xfId="0" applyFont="1" applyBorder="1" applyAlignment="1" applyProtection="1">
      <alignment vertical="center"/>
      <protection hidden="1"/>
    </xf>
    <xf numFmtId="2" fontId="11" fillId="0" borderId="79" xfId="0" applyNumberFormat="1" applyFont="1" applyBorder="1" applyAlignment="1" applyProtection="1">
      <alignment vertical="center"/>
      <protection hidden="1"/>
    </xf>
    <xf numFmtId="0" fontId="11" fillId="12" borderId="14" xfId="0" applyFont="1" applyFill="1" applyBorder="1" applyAlignment="1" applyProtection="1">
      <alignment horizontal="center"/>
      <protection hidden="1"/>
    </xf>
    <xf numFmtId="0" fontId="11" fillId="12" borderId="0" xfId="0" applyFont="1" applyFill="1" applyAlignment="1">
      <alignment horizontal="center"/>
    </xf>
    <xf numFmtId="0" fontId="11" fillId="12" borderId="136" xfId="0" applyFont="1" applyFill="1" applyBorder="1" applyProtection="1">
      <protection hidden="1"/>
    </xf>
    <xf numFmtId="0" fontId="13" fillId="12" borderId="136" xfId="0" applyFont="1" applyFill="1" applyBorder="1" applyAlignment="1" applyProtection="1">
      <alignment horizontal="right"/>
      <protection hidden="1"/>
    </xf>
    <xf numFmtId="0" fontId="11" fillId="12" borderId="72" xfId="0" applyFont="1" applyFill="1" applyBorder="1" applyProtection="1">
      <protection hidden="1"/>
    </xf>
    <xf numFmtId="0" fontId="97" fillId="0" borderId="0" xfId="0" applyFont="1" applyAlignment="1" applyProtection="1">
      <alignment horizontal="center"/>
      <protection hidden="1"/>
    </xf>
    <xf numFmtId="0" fontId="11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right"/>
      <protection hidden="1"/>
    </xf>
    <xf numFmtId="0" fontId="11" fillId="12" borderId="136" xfId="0" applyFont="1" applyFill="1" applyBorder="1"/>
    <xf numFmtId="0" fontId="11" fillId="0" borderId="2" xfId="0" applyFont="1" applyBorder="1" applyAlignment="1" applyProtection="1">
      <alignment horizontal="center"/>
      <protection hidden="1"/>
    </xf>
    <xf numFmtId="0" fontId="13" fillId="0" borderId="16" xfId="0" applyFont="1" applyBorder="1" applyAlignment="1" applyProtection="1">
      <alignment vertical="center"/>
      <protection hidden="1"/>
    </xf>
    <xf numFmtId="0" fontId="13" fillId="0" borderId="12" xfId="0" applyFont="1" applyBorder="1" applyAlignment="1" applyProtection="1">
      <alignment vertical="center"/>
      <protection hidden="1"/>
    </xf>
    <xf numFmtId="0" fontId="97" fillId="0" borderId="2" xfId="0" applyFont="1" applyBorder="1" applyProtection="1">
      <protection hidden="1"/>
    </xf>
    <xf numFmtId="0" fontId="144" fillId="0" borderId="137" xfId="0" applyFont="1" applyBorder="1" applyAlignment="1" applyProtection="1">
      <alignment vertical="center"/>
      <protection hidden="1"/>
    </xf>
    <xf numFmtId="0" fontId="144" fillId="0" borderId="16" xfId="0" applyFont="1" applyBorder="1" applyAlignment="1" applyProtection="1">
      <alignment vertical="center"/>
      <protection hidden="1"/>
    </xf>
    <xf numFmtId="0" fontId="13" fillId="15" borderId="0" xfId="0" applyFont="1" applyFill="1" applyAlignment="1" applyProtection="1">
      <alignment horizontal="left" vertical="center"/>
      <protection hidden="1"/>
    </xf>
    <xf numFmtId="0" fontId="11" fillId="15" borderId="0" xfId="0" applyFont="1" applyFill="1" applyAlignment="1" applyProtection="1">
      <alignment vertical="center"/>
      <protection hidden="1"/>
    </xf>
    <xf numFmtId="0" fontId="11" fillId="15" borderId="0" xfId="0" applyFont="1" applyFill="1" applyAlignment="1" applyProtection="1">
      <alignment horizontal="center" vertical="center"/>
      <protection hidden="1"/>
    </xf>
    <xf numFmtId="2" fontId="11" fillId="15" borderId="0" xfId="0" applyNumberFormat="1" applyFont="1" applyFill="1" applyAlignment="1" applyProtection="1">
      <alignment vertical="center"/>
      <protection hidden="1"/>
    </xf>
    <xf numFmtId="0" fontId="6" fillId="0" borderId="0" xfId="0" applyFont="1" applyAlignment="1" applyProtection="1">
      <alignment horizontal="left" vertical="center"/>
      <protection hidden="1"/>
    </xf>
    <xf numFmtId="0" fontId="126" fillId="0" borderId="0" xfId="0" applyFont="1" applyProtection="1">
      <protection hidden="1"/>
    </xf>
    <xf numFmtId="0" fontId="106" fillId="0" borderId="8" xfId="0" applyFont="1" applyBorder="1" applyAlignment="1">
      <alignment horizontal="center"/>
    </xf>
    <xf numFmtId="0" fontId="13" fillId="7" borderId="0" xfId="0" applyFont="1" applyFill="1"/>
    <xf numFmtId="0" fontId="14" fillId="0" borderId="0" xfId="0" applyFont="1"/>
    <xf numFmtId="0" fontId="148" fillId="0" borderId="0" xfId="5" applyFont="1"/>
    <xf numFmtId="0" fontId="73" fillId="0" borderId="0" xfId="5"/>
    <xf numFmtId="0" fontId="73" fillId="0" borderId="0" xfId="5" applyAlignment="1">
      <alignment horizontal="center"/>
    </xf>
    <xf numFmtId="0" fontId="97" fillId="0" borderId="0" xfId="5" applyFont="1" applyAlignment="1">
      <alignment horizontal="center"/>
    </xf>
    <xf numFmtId="175" fontId="97" fillId="0" borderId="0" xfId="5" applyNumberFormat="1" applyFont="1" applyAlignment="1">
      <alignment horizontal="center"/>
    </xf>
    <xf numFmtId="175" fontId="73" fillId="0" borderId="0" xfId="5" applyNumberFormat="1" applyAlignment="1">
      <alignment horizontal="center"/>
    </xf>
    <xf numFmtId="0" fontId="97" fillId="0" borderId="0" xfId="5" applyFont="1"/>
    <xf numFmtId="0" fontId="83" fillId="0" borderId="0" xfId="5" applyFont="1"/>
    <xf numFmtId="0" fontId="110" fillId="0" borderId="0" xfId="5" applyFont="1"/>
    <xf numFmtId="0" fontId="73" fillId="0" borderId="2" xfId="5" applyBorder="1" applyAlignment="1">
      <alignment horizontal="center"/>
    </xf>
    <xf numFmtId="0" fontId="73" fillId="0" borderId="39" xfId="5" applyBorder="1" applyAlignment="1">
      <alignment horizontal="center"/>
    </xf>
    <xf numFmtId="0" fontId="13" fillId="0" borderId="39" xfId="5" applyFont="1" applyBorder="1" applyAlignment="1">
      <alignment horizontal="center"/>
    </xf>
    <xf numFmtId="0" fontId="13" fillId="0" borderId="56" xfId="5" applyFont="1" applyBorder="1" applyAlignment="1">
      <alignment horizontal="center"/>
    </xf>
    <xf numFmtId="175" fontId="97" fillId="0" borderId="39" xfId="5" applyNumberFormat="1" applyFont="1" applyBorder="1" applyAlignment="1">
      <alignment horizontal="center"/>
    </xf>
    <xf numFmtId="0" fontId="97" fillId="0" borderId="2" xfId="5" applyFont="1" applyBorder="1" applyAlignment="1">
      <alignment horizontal="center"/>
    </xf>
    <xf numFmtId="0" fontId="97" fillId="0" borderId="39" xfId="5" applyFont="1" applyBorder="1" applyAlignment="1">
      <alignment horizontal="center"/>
    </xf>
    <xf numFmtId="0" fontId="97" fillId="0" borderId="39" xfId="5" applyFont="1" applyBorder="1" applyAlignment="1">
      <alignment horizontal="centerContinuous"/>
    </xf>
    <xf numFmtId="0" fontId="97" fillId="0" borderId="0" xfId="5" applyFont="1" applyAlignment="1">
      <alignment horizontal="centerContinuous"/>
    </xf>
    <xf numFmtId="0" fontId="97" fillId="0" borderId="56" xfId="5" applyFont="1" applyBorder="1" applyAlignment="1">
      <alignment horizontal="center"/>
    </xf>
    <xf numFmtId="0" fontId="73" fillId="0" borderId="2" xfId="5" applyBorder="1"/>
    <xf numFmtId="0" fontId="73" fillId="0" borderId="39" xfId="5" applyBorder="1"/>
    <xf numFmtId="165" fontId="73" fillId="0" borderId="2" xfId="5" applyNumberFormat="1" applyBorder="1"/>
    <xf numFmtId="174" fontId="73" fillId="0" borderId="39" xfId="5" applyNumberFormat="1" applyBorder="1"/>
    <xf numFmtId="175" fontId="73" fillId="0" borderId="39" xfId="5" applyNumberFormat="1" applyBorder="1" applyAlignment="1">
      <alignment horizontal="center"/>
    </xf>
    <xf numFmtId="0" fontId="97" fillId="0" borderId="2" xfId="5" applyFont="1" applyBorder="1"/>
    <xf numFmtId="0" fontId="97" fillId="0" borderId="39" xfId="5" applyFont="1" applyBorder="1"/>
    <xf numFmtId="0" fontId="97" fillId="0" borderId="56" xfId="5" applyFont="1" applyBorder="1"/>
    <xf numFmtId="20" fontId="73" fillId="0" borderId="0" xfId="5" quotePrefix="1" applyNumberFormat="1" applyAlignment="1">
      <alignment horizontal="right"/>
    </xf>
    <xf numFmtId="165" fontId="73" fillId="0" borderId="39" xfId="5" applyNumberFormat="1" applyBorder="1" applyAlignment="1">
      <alignment horizontal="center"/>
    </xf>
    <xf numFmtId="174" fontId="13" fillId="0" borderId="39" xfId="5" applyNumberFormat="1" applyFont="1" applyBorder="1" applyAlignment="1">
      <alignment horizontal="center"/>
    </xf>
    <xf numFmtId="175" fontId="97" fillId="0" borderId="39" xfId="3" applyNumberFormat="1" applyFont="1" applyBorder="1" applyAlignment="1">
      <alignment horizontal="center"/>
    </xf>
    <xf numFmtId="165" fontId="97" fillId="0" borderId="2" xfId="5" applyNumberFormat="1" applyFont="1" applyBorder="1" applyAlignment="1">
      <alignment horizontal="center"/>
    </xf>
    <xf numFmtId="165" fontId="97" fillId="0" borderId="39" xfId="5" applyNumberFormat="1" applyFont="1" applyBorder="1" applyAlignment="1">
      <alignment horizontal="center"/>
    </xf>
    <xf numFmtId="165" fontId="97" fillId="0" borderId="39" xfId="5" applyNumberFormat="1" applyFont="1" applyBorder="1" applyAlignment="1">
      <alignment horizontal="right"/>
    </xf>
    <xf numFmtId="165" fontId="97" fillId="0" borderId="0" xfId="5" quotePrefix="1" applyNumberFormat="1" applyFont="1" applyAlignment="1">
      <alignment horizontal="center"/>
    </xf>
    <xf numFmtId="165" fontId="97" fillId="0" borderId="0" xfId="5" applyNumberFormat="1" applyFont="1" applyAlignment="1">
      <alignment horizontal="left"/>
    </xf>
    <xf numFmtId="165" fontId="97" fillId="0" borderId="56" xfId="5" applyNumberFormat="1" applyFont="1" applyBorder="1" applyAlignment="1">
      <alignment horizontal="center"/>
    </xf>
    <xf numFmtId="0" fontId="97" fillId="0" borderId="39" xfId="5" applyFont="1" applyBorder="1" applyAlignment="1">
      <alignment horizontal="right"/>
    </xf>
    <xf numFmtId="0" fontId="97" fillId="0" borderId="0" xfId="5" quotePrefix="1" applyFont="1"/>
    <xf numFmtId="0" fontId="97" fillId="0" borderId="0" xfId="5" applyFont="1" applyAlignment="1">
      <alignment horizontal="left"/>
    </xf>
    <xf numFmtId="165" fontId="73" fillId="0" borderId="0" xfId="5" applyNumberFormat="1" applyAlignment="1">
      <alignment horizontal="center"/>
    </xf>
    <xf numFmtId="174" fontId="13" fillId="0" borderId="0" xfId="5" applyNumberFormat="1" applyFont="1"/>
    <xf numFmtId="174" fontId="13" fillId="0" borderId="0" xfId="5" applyNumberFormat="1" applyFont="1" applyAlignment="1">
      <alignment horizontal="center"/>
    </xf>
    <xf numFmtId="165" fontId="97" fillId="0" borderId="0" xfId="5" applyNumberFormat="1" applyFont="1" applyAlignment="1">
      <alignment horizontal="center"/>
    </xf>
    <xf numFmtId="1" fontId="73" fillId="0" borderId="2" xfId="5" applyNumberFormat="1" applyBorder="1" applyAlignment="1">
      <alignment horizontal="center"/>
    </xf>
    <xf numFmtId="1" fontId="73" fillId="0" borderId="11" xfId="5" applyNumberFormat="1" applyBorder="1" applyAlignment="1">
      <alignment horizontal="center"/>
    </xf>
    <xf numFmtId="0" fontId="73" fillId="0" borderId="44" xfId="5" applyBorder="1" applyAlignment="1">
      <alignment horizontal="center"/>
    </xf>
    <xf numFmtId="165" fontId="73" fillId="0" borderId="44" xfId="5" applyNumberFormat="1" applyBorder="1" applyAlignment="1">
      <alignment horizontal="center"/>
    </xf>
    <xf numFmtId="174" fontId="13" fillId="0" borderId="44" xfId="5" applyNumberFormat="1" applyFont="1" applyBorder="1" applyAlignment="1">
      <alignment horizontal="center"/>
    </xf>
    <xf numFmtId="175" fontId="97" fillId="0" borderId="44" xfId="3" applyNumberFormat="1" applyFont="1" applyBorder="1" applyAlignment="1">
      <alignment horizontal="center"/>
    </xf>
    <xf numFmtId="165" fontId="97" fillId="0" borderId="11" xfId="5" applyNumberFormat="1" applyFont="1" applyBorder="1" applyAlignment="1">
      <alignment horizontal="center"/>
    </xf>
    <xf numFmtId="165" fontId="97" fillId="0" borderId="44" xfId="5" applyNumberFormat="1" applyFont="1" applyBorder="1" applyAlignment="1">
      <alignment horizontal="center"/>
    </xf>
    <xf numFmtId="165" fontId="97" fillId="0" borderId="44" xfId="5" applyNumberFormat="1" applyFont="1" applyBorder="1" applyAlignment="1">
      <alignment horizontal="right"/>
    </xf>
    <xf numFmtId="165" fontId="97" fillId="0" borderId="14" xfId="5" quotePrefix="1" applyNumberFormat="1" applyFont="1" applyBorder="1" applyAlignment="1">
      <alignment horizontal="center"/>
    </xf>
    <xf numFmtId="165" fontId="97" fillId="0" borderId="14" xfId="5" applyNumberFormat="1" applyFont="1" applyBorder="1" applyAlignment="1">
      <alignment horizontal="left"/>
    </xf>
    <xf numFmtId="165" fontId="97" fillId="0" borderId="45" xfId="5" applyNumberFormat="1" applyFont="1" applyBorder="1" applyAlignment="1">
      <alignment horizontal="center"/>
    </xf>
    <xf numFmtId="0" fontId="83" fillId="0" borderId="14" xfId="5" applyFont="1" applyBorder="1"/>
    <xf numFmtId="174" fontId="11" fillId="0" borderId="56" xfId="5" applyNumberFormat="1" applyFont="1" applyBorder="1"/>
    <xf numFmtId="174" fontId="11" fillId="0" borderId="56" xfId="5" applyNumberFormat="1" applyFont="1" applyBorder="1" applyAlignment="1">
      <alignment horizontal="center"/>
    </xf>
    <xf numFmtId="174" fontId="11" fillId="0" borderId="45" xfId="5" applyNumberFormat="1" applyFont="1" applyBorder="1" applyAlignment="1">
      <alignment horizontal="center"/>
    </xf>
    <xf numFmtId="174" fontId="11" fillId="0" borderId="0" xfId="5" applyNumberFormat="1" applyFont="1" applyAlignment="1">
      <alignment horizontal="center"/>
    </xf>
    <xf numFmtId="165" fontId="13" fillId="7" borderId="2" xfId="5" applyNumberFormat="1" applyFont="1" applyFill="1" applyBorder="1" applyAlignment="1">
      <alignment horizontal="center"/>
    </xf>
    <xf numFmtId="174" fontId="13" fillId="7" borderId="39" xfId="5" applyNumberFormat="1" applyFont="1" applyFill="1" applyBorder="1" applyAlignment="1">
      <alignment horizontal="center"/>
    </xf>
    <xf numFmtId="0" fontId="13" fillId="7" borderId="2" xfId="5" applyFont="1" applyFill="1" applyBorder="1" applyAlignment="1">
      <alignment horizontal="center"/>
    </xf>
    <xf numFmtId="0" fontId="13" fillId="7" borderId="39" xfId="5" applyFont="1" applyFill="1" applyBorder="1" applyAlignment="1">
      <alignment horizontal="center"/>
    </xf>
    <xf numFmtId="0" fontId="73" fillId="0" borderId="14" xfId="5" applyBorder="1" applyAlignment="1">
      <alignment horizontal="centerContinuous" vertical="center"/>
    </xf>
    <xf numFmtId="0" fontId="73" fillId="0" borderId="11" xfId="5" applyBorder="1" applyAlignment="1">
      <alignment horizontal="centerContinuous" vertical="center"/>
    </xf>
    <xf numFmtId="0" fontId="73" fillId="0" borderId="44" xfId="5" applyBorder="1" applyAlignment="1">
      <alignment horizontal="centerContinuous" vertical="center"/>
    </xf>
    <xf numFmtId="0" fontId="73" fillId="0" borderId="45" xfId="5" applyBorder="1" applyAlignment="1">
      <alignment horizontal="centerContinuous" vertical="center"/>
    </xf>
    <xf numFmtId="0" fontId="97" fillId="0" borderId="16" xfId="5" applyFont="1" applyBorder="1" applyAlignment="1">
      <alignment horizontal="center" vertical="center"/>
    </xf>
    <xf numFmtId="175" fontId="97" fillId="0" borderId="44" xfId="5" applyNumberFormat="1" applyFont="1" applyBorder="1" applyAlignment="1">
      <alignment horizontal="center" vertical="center"/>
    </xf>
    <xf numFmtId="0" fontId="97" fillId="0" borderId="11" xfId="5" applyFont="1" applyBorder="1" applyAlignment="1">
      <alignment horizontal="centerContinuous" vertical="center"/>
    </xf>
    <xf numFmtId="0" fontId="97" fillId="0" borderId="44" xfId="5" applyFont="1" applyBorder="1" applyAlignment="1">
      <alignment horizontal="centerContinuous" vertical="center"/>
    </xf>
    <xf numFmtId="0" fontId="97" fillId="0" borderId="14" xfId="5" applyFont="1" applyBorder="1" applyAlignment="1">
      <alignment horizontal="centerContinuous" vertical="center"/>
    </xf>
    <xf numFmtId="0" fontId="97" fillId="0" borderId="45" xfId="5" applyFont="1" applyBorder="1" applyAlignment="1">
      <alignment horizontal="centerContinuous" vertical="center"/>
    </xf>
    <xf numFmtId="0" fontId="83" fillId="0" borderId="0" xfId="5" applyFont="1" applyAlignment="1">
      <alignment vertical="center"/>
    </xf>
    <xf numFmtId="0" fontId="97" fillId="0" borderId="0" xfId="5" applyFont="1" applyAlignment="1">
      <alignment vertical="center"/>
    </xf>
    <xf numFmtId="0" fontId="110" fillId="0" borderId="0" xfId="5" applyFont="1" applyAlignment="1">
      <alignment vertical="center"/>
    </xf>
    <xf numFmtId="0" fontId="73" fillId="0" borderId="0" xfId="5" applyAlignment="1">
      <alignment vertical="center"/>
    </xf>
    <xf numFmtId="1" fontId="73" fillId="0" borderId="39" xfId="5" applyNumberFormat="1" applyBorder="1" applyAlignment="1">
      <alignment horizontal="center"/>
    </xf>
    <xf numFmtId="1" fontId="73" fillId="0" borderId="44" xfId="5" applyNumberFormat="1" applyBorder="1" applyAlignment="1">
      <alignment horizontal="center"/>
    </xf>
    <xf numFmtId="1" fontId="73" fillId="0" borderId="0" xfId="5" applyNumberFormat="1" applyAlignment="1">
      <alignment horizontal="center"/>
    </xf>
    <xf numFmtId="0" fontId="13" fillId="12" borderId="39" xfId="5" applyFont="1" applyFill="1" applyBorder="1" applyAlignment="1">
      <alignment horizontal="centerContinuous"/>
    </xf>
    <xf numFmtId="0" fontId="13" fillId="12" borderId="0" xfId="5" applyFont="1" applyFill="1" applyAlignment="1">
      <alignment horizontal="centerContinuous"/>
    </xf>
    <xf numFmtId="174" fontId="13" fillId="12" borderId="39" xfId="5" applyNumberFormat="1" applyFont="1" applyFill="1" applyBorder="1"/>
    <xf numFmtId="165" fontId="13" fillId="12" borderId="0" xfId="5" quotePrefix="1" applyNumberFormat="1" applyFont="1" applyFill="1"/>
    <xf numFmtId="174" fontId="13" fillId="12" borderId="0" xfId="5" applyNumberFormat="1" applyFont="1" applyFill="1" applyAlignment="1">
      <alignment horizontal="left"/>
    </xf>
    <xf numFmtId="174" fontId="13" fillId="12" borderId="44" xfId="5" applyNumberFormat="1" applyFont="1" applyFill="1" applyBorder="1"/>
    <xf numFmtId="165" fontId="13" fillId="12" borderId="14" xfId="5" quotePrefix="1" applyNumberFormat="1" applyFont="1" applyFill="1" applyBorder="1"/>
    <xf numFmtId="174" fontId="13" fillId="12" borderId="14" xfId="5" applyNumberFormat="1" applyFont="1" applyFill="1" applyBorder="1" applyAlignment="1">
      <alignment horizontal="left"/>
    </xf>
    <xf numFmtId="165" fontId="13" fillId="7" borderId="11" xfId="5" applyNumberFormat="1" applyFont="1" applyFill="1" applyBorder="1" applyAlignment="1">
      <alignment horizontal="center"/>
    </xf>
    <xf numFmtId="174" fontId="13" fillId="7" borderId="44" xfId="5" applyNumberFormat="1" applyFont="1" applyFill="1" applyBorder="1" applyAlignment="1">
      <alignment horizontal="center"/>
    </xf>
    <xf numFmtId="0" fontId="73" fillId="0" borderId="0" xfId="5" applyAlignment="1">
      <alignment horizontal="left"/>
    </xf>
    <xf numFmtId="0" fontId="97" fillId="0" borderId="2" xfId="5" applyFont="1" applyBorder="1" applyAlignment="1">
      <alignment horizontal="center" vertical="center"/>
    </xf>
    <xf numFmtId="165" fontId="13" fillId="0" borderId="0" xfId="5" applyNumberFormat="1" applyFont="1" applyAlignment="1">
      <alignment horizontal="center"/>
    </xf>
    <xf numFmtId="165" fontId="13" fillId="0" borderId="0" xfId="5" quotePrefix="1" applyNumberFormat="1" applyFont="1"/>
    <xf numFmtId="174" fontId="13" fillId="0" borderId="0" xfId="5" applyNumberFormat="1" applyFont="1" applyAlignment="1">
      <alignment horizontal="left"/>
    </xf>
    <xf numFmtId="0" fontId="13" fillId="0" borderId="0" xfId="5" applyFont="1"/>
    <xf numFmtId="0" fontId="145" fillId="0" borderId="0" xfId="5" applyFont="1" applyAlignment="1">
      <alignment vertical="center"/>
    </xf>
    <xf numFmtId="1" fontId="73" fillId="0" borderId="2" xfId="5" applyNumberFormat="1" applyBorder="1" applyAlignment="1">
      <alignment horizontal="center" vertical="center"/>
    </xf>
    <xf numFmtId="1" fontId="73" fillId="0" borderId="39" xfId="5" applyNumberFormat="1" applyBorder="1" applyAlignment="1">
      <alignment horizontal="center" vertical="center"/>
    </xf>
    <xf numFmtId="165" fontId="13" fillId="7" borderId="2" xfId="5" applyNumberFormat="1" applyFont="1" applyFill="1" applyBorder="1" applyAlignment="1">
      <alignment horizontal="center" vertical="center"/>
    </xf>
    <xf numFmtId="165" fontId="73" fillId="0" borderId="39" xfId="5" applyNumberFormat="1" applyBorder="1" applyAlignment="1">
      <alignment horizontal="center" vertical="center"/>
    </xf>
    <xf numFmtId="174" fontId="13" fillId="12" borderId="39" xfId="5" applyNumberFormat="1" applyFont="1" applyFill="1" applyBorder="1" applyAlignment="1">
      <alignment vertical="center"/>
    </xf>
    <xf numFmtId="165" fontId="13" fillId="12" borderId="0" xfId="5" quotePrefix="1" applyNumberFormat="1" applyFont="1" applyFill="1" applyAlignment="1">
      <alignment vertical="center"/>
    </xf>
    <xf numFmtId="174" fontId="13" fillId="12" borderId="0" xfId="5" applyNumberFormat="1" applyFont="1" applyFill="1" applyAlignment="1">
      <alignment horizontal="left" vertical="center"/>
    </xf>
    <xf numFmtId="174" fontId="13" fillId="7" borderId="39" xfId="5" applyNumberFormat="1" applyFont="1" applyFill="1" applyBorder="1" applyAlignment="1">
      <alignment horizontal="center" vertical="center"/>
    </xf>
    <xf numFmtId="174" fontId="13" fillId="0" borderId="39" xfId="5" applyNumberFormat="1" applyFont="1" applyBorder="1" applyAlignment="1">
      <alignment horizontal="center" vertical="center"/>
    </xf>
    <xf numFmtId="174" fontId="11" fillId="0" borderId="56" xfId="5" applyNumberFormat="1" applyFont="1" applyBorder="1" applyAlignment="1">
      <alignment horizontal="center" vertical="center"/>
    </xf>
    <xf numFmtId="175" fontId="97" fillId="0" borderId="39" xfId="3" applyNumberFormat="1" applyFont="1" applyBorder="1" applyAlignment="1">
      <alignment horizontal="center" vertical="center"/>
    </xf>
    <xf numFmtId="165" fontId="97" fillId="0" borderId="2" xfId="5" applyNumberFormat="1" applyFont="1" applyBorder="1" applyAlignment="1">
      <alignment horizontal="center" vertical="center"/>
    </xf>
    <xf numFmtId="165" fontId="97" fillId="0" borderId="39" xfId="5" applyNumberFormat="1" applyFont="1" applyBorder="1" applyAlignment="1">
      <alignment horizontal="center" vertical="center"/>
    </xf>
    <xf numFmtId="165" fontId="97" fillId="0" borderId="39" xfId="5" applyNumberFormat="1" applyFont="1" applyBorder="1" applyAlignment="1">
      <alignment horizontal="right" vertical="center"/>
    </xf>
    <xf numFmtId="165" fontId="97" fillId="0" borderId="0" xfId="5" quotePrefix="1" applyNumberFormat="1" applyFont="1" applyAlignment="1">
      <alignment horizontal="center" vertical="center"/>
    </xf>
    <xf numFmtId="165" fontId="97" fillId="0" borderId="0" xfId="5" applyNumberFormat="1" applyFont="1" applyAlignment="1">
      <alignment horizontal="left" vertical="center"/>
    </xf>
    <xf numFmtId="165" fontId="97" fillId="0" borderId="56" xfId="5" applyNumberFormat="1" applyFont="1" applyBorder="1" applyAlignment="1">
      <alignment horizontal="center" vertical="center"/>
    </xf>
    <xf numFmtId="0" fontId="97" fillId="0" borderId="11" xfId="5" applyFont="1" applyBorder="1" applyAlignment="1">
      <alignment horizontal="center"/>
    </xf>
    <xf numFmtId="175" fontId="97" fillId="0" borderId="45" xfId="3" applyNumberFormat="1" applyFont="1" applyBorder="1" applyAlignment="1">
      <alignment horizontal="center"/>
    </xf>
    <xf numFmtId="1" fontId="73" fillId="0" borderId="1" xfId="5" applyNumberFormat="1" applyBorder="1" applyAlignment="1">
      <alignment horizontal="center"/>
    </xf>
    <xf numFmtId="1" fontId="73" fillId="0" borderId="42" xfId="5" applyNumberFormat="1" applyBorder="1" applyAlignment="1">
      <alignment horizontal="center"/>
    </xf>
    <xf numFmtId="165" fontId="13" fillId="7" borderId="1" xfId="5" applyNumberFormat="1" applyFont="1" applyFill="1" applyBorder="1" applyAlignment="1">
      <alignment horizontal="center"/>
    </xf>
    <xf numFmtId="0" fontId="73" fillId="0" borderId="42" xfId="5" applyBorder="1" applyAlignment="1">
      <alignment horizontal="center"/>
    </xf>
    <xf numFmtId="174" fontId="13" fillId="12" borderId="42" xfId="5" applyNumberFormat="1" applyFont="1" applyFill="1" applyBorder="1"/>
    <xf numFmtId="165" fontId="13" fillId="12" borderId="13" xfId="5" quotePrefix="1" applyNumberFormat="1" applyFont="1" applyFill="1" applyBorder="1"/>
    <xf numFmtId="174" fontId="13" fillId="12" borderId="13" xfId="5" applyNumberFormat="1" applyFont="1" applyFill="1" applyBorder="1" applyAlignment="1">
      <alignment horizontal="left"/>
    </xf>
    <xf numFmtId="174" fontId="13" fillId="7" borderId="42" xfId="5" applyNumberFormat="1" applyFont="1" applyFill="1" applyBorder="1" applyAlignment="1">
      <alignment horizontal="center"/>
    </xf>
    <xf numFmtId="174" fontId="13" fillId="0" borderId="42" xfId="5" applyNumberFormat="1" applyFont="1" applyBorder="1" applyAlignment="1">
      <alignment horizontal="center"/>
    </xf>
    <xf numFmtId="174" fontId="11" fillId="0" borderId="43" xfId="5" applyNumberFormat="1" applyFont="1" applyBorder="1" applyAlignment="1">
      <alignment horizontal="center"/>
    </xf>
    <xf numFmtId="0" fontId="97" fillId="0" borderId="1" xfId="5" applyFont="1" applyBorder="1" applyAlignment="1">
      <alignment horizontal="center"/>
    </xf>
    <xf numFmtId="175" fontId="97" fillId="0" borderId="42" xfId="3" applyNumberFormat="1" applyFont="1" applyBorder="1" applyAlignment="1">
      <alignment horizontal="center"/>
    </xf>
    <xf numFmtId="165" fontId="97" fillId="0" borderId="1" xfId="5" applyNumberFormat="1" applyFont="1" applyBorder="1" applyAlignment="1">
      <alignment horizontal="center"/>
    </xf>
    <xf numFmtId="165" fontId="97" fillId="0" borderId="42" xfId="5" applyNumberFormat="1" applyFont="1" applyBorder="1" applyAlignment="1">
      <alignment horizontal="center"/>
    </xf>
    <xf numFmtId="165" fontId="97" fillId="0" borderId="42" xfId="5" applyNumberFormat="1" applyFont="1" applyBorder="1" applyAlignment="1">
      <alignment horizontal="right"/>
    </xf>
    <xf numFmtId="165" fontId="97" fillId="0" borderId="13" xfId="5" quotePrefix="1" applyNumberFormat="1" applyFont="1" applyBorder="1" applyAlignment="1">
      <alignment horizontal="center"/>
    </xf>
    <xf numFmtId="165" fontId="97" fillId="0" borderId="13" xfId="5" applyNumberFormat="1" applyFont="1" applyBorder="1" applyAlignment="1">
      <alignment horizontal="left"/>
    </xf>
    <xf numFmtId="165" fontId="97" fillId="0" borderId="43" xfId="5" applyNumberFormat="1" applyFont="1" applyBorder="1" applyAlignment="1">
      <alignment horizontal="center"/>
    </xf>
    <xf numFmtId="0" fontId="83" fillId="0" borderId="13" xfId="5" applyFont="1" applyBorder="1"/>
    <xf numFmtId="1" fontId="73" fillId="0" borderId="4" xfId="5" applyNumberFormat="1" applyBorder="1" applyAlignment="1">
      <alignment horizontal="center" vertical="center"/>
    </xf>
    <xf numFmtId="1" fontId="73" fillId="0" borderId="46" xfId="5" applyNumberFormat="1" applyBorder="1" applyAlignment="1">
      <alignment horizontal="center" vertical="center"/>
    </xf>
    <xf numFmtId="165" fontId="13" fillId="7" borderId="4" xfId="5" applyNumberFormat="1" applyFont="1" applyFill="1" applyBorder="1" applyAlignment="1">
      <alignment horizontal="center" vertical="center"/>
    </xf>
    <xf numFmtId="0" fontId="73" fillId="0" borderId="46" xfId="5" applyBorder="1" applyAlignment="1">
      <alignment horizontal="center" vertical="center"/>
    </xf>
    <xf numFmtId="165" fontId="13" fillId="12" borderId="5" xfId="5" quotePrefix="1" applyNumberFormat="1" applyFont="1" applyFill="1" applyBorder="1" applyAlignment="1">
      <alignment vertical="center"/>
    </xf>
    <xf numFmtId="174" fontId="13" fillId="7" borderId="46" xfId="5" applyNumberFormat="1" applyFont="1" applyFill="1" applyBorder="1" applyAlignment="1">
      <alignment horizontal="center" vertical="center"/>
    </xf>
    <xf numFmtId="174" fontId="13" fillId="0" borderId="46" xfId="5" applyNumberFormat="1" applyFont="1" applyBorder="1" applyAlignment="1">
      <alignment horizontal="center" vertical="center"/>
    </xf>
    <xf numFmtId="174" fontId="11" fillId="0" borderId="47" xfId="5" applyNumberFormat="1" applyFont="1" applyBorder="1" applyAlignment="1">
      <alignment horizontal="center" vertical="center"/>
    </xf>
    <xf numFmtId="0" fontId="97" fillId="0" borderId="4" xfId="5" applyFont="1" applyBorder="1" applyAlignment="1">
      <alignment horizontal="center" vertical="center"/>
    </xf>
    <xf numFmtId="175" fontId="97" fillId="0" borderId="46" xfId="3" applyNumberFormat="1" applyFont="1" applyBorder="1" applyAlignment="1">
      <alignment horizontal="center" vertical="center"/>
    </xf>
    <xf numFmtId="165" fontId="97" fillId="0" borderId="4" xfId="5" applyNumberFormat="1" applyFont="1" applyBorder="1" applyAlignment="1">
      <alignment horizontal="center" vertical="center"/>
    </xf>
    <xf numFmtId="165" fontId="97" fillId="0" borderId="46" xfId="5" applyNumberFormat="1" applyFont="1" applyBorder="1" applyAlignment="1">
      <alignment horizontal="center" vertical="center"/>
    </xf>
    <xf numFmtId="165" fontId="97" fillId="0" borderId="46" xfId="5" applyNumberFormat="1" applyFont="1" applyBorder="1" applyAlignment="1">
      <alignment horizontal="right" vertical="center"/>
    </xf>
    <xf numFmtId="165" fontId="97" fillId="0" borderId="5" xfId="5" quotePrefix="1" applyNumberFormat="1" applyFont="1" applyBorder="1" applyAlignment="1">
      <alignment horizontal="center" vertical="center"/>
    </xf>
    <xf numFmtId="165" fontId="97" fillId="0" borderId="5" xfId="5" applyNumberFormat="1" applyFont="1" applyBorder="1" applyAlignment="1">
      <alignment horizontal="left" vertical="center"/>
    </xf>
    <xf numFmtId="165" fontId="97" fillId="0" borderId="47" xfId="5" applyNumberFormat="1" applyFont="1" applyBorder="1" applyAlignment="1">
      <alignment horizontal="center" vertical="center"/>
    </xf>
    <xf numFmtId="0" fontId="83" fillId="0" borderId="5" xfId="5" applyFont="1" applyBorder="1" applyAlignment="1">
      <alignment vertical="center"/>
    </xf>
    <xf numFmtId="20" fontId="97" fillId="0" borderId="0" xfId="5" quotePrefix="1" applyNumberFormat="1" applyFont="1" applyAlignment="1">
      <alignment horizontal="right"/>
    </xf>
    <xf numFmtId="1" fontId="97" fillId="0" borderId="0" xfId="5" applyNumberFormat="1" applyFont="1" applyAlignment="1">
      <alignment horizontal="center"/>
    </xf>
    <xf numFmtId="165" fontId="144" fillId="0" borderId="0" xfId="5" applyNumberFormat="1" applyFont="1" applyAlignment="1">
      <alignment horizontal="center"/>
    </xf>
    <xf numFmtId="174" fontId="144" fillId="0" borderId="0" xfId="5" applyNumberFormat="1" applyFont="1"/>
    <xf numFmtId="165" fontId="144" fillId="0" borderId="0" xfId="5" quotePrefix="1" applyNumberFormat="1" applyFont="1"/>
    <xf numFmtId="174" fontId="144" fillId="0" borderId="0" xfId="5" applyNumberFormat="1" applyFont="1" applyAlignment="1">
      <alignment horizontal="left"/>
    </xf>
    <xf numFmtId="174" fontId="144" fillId="0" borderId="0" xfId="5" applyNumberFormat="1" applyFont="1" applyAlignment="1">
      <alignment horizontal="center"/>
    </xf>
    <xf numFmtId="174" fontId="97" fillId="0" borderId="0" xfId="5" applyNumberFormat="1" applyFont="1" applyAlignment="1">
      <alignment horizontal="center"/>
    </xf>
    <xf numFmtId="0" fontId="97" fillId="12" borderId="0" xfId="5" applyFont="1" applyFill="1"/>
    <xf numFmtId="20" fontId="97" fillId="12" borderId="0" xfId="5" quotePrefix="1" applyNumberFormat="1" applyFont="1" applyFill="1" applyAlignment="1">
      <alignment horizontal="right"/>
    </xf>
    <xf numFmtId="4" fontId="13" fillId="0" borderId="0" xfId="5" applyNumberFormat="1" applyFont="1"/>
    <xf numFmtId="4" fontId="13" fillId="0" borderId="0" xfId="5" quotePrefix="1" applyNumberFormat="1" applyFont="1"/>
    <xf numFmtId="4" fontId="13" fillId="0" borderId="0" xfId="5" applyNumberFormat="1" applyFont="1" applyAlignment="1">
      <alignment horizontal="left"/>
    </xf>
    <xf numFmtId="174" fontId="13" fillId="0" borderId="0" xfId="5" quotePrefix="1" applyNumberFormat="1" applyFont="1"/>
    <xf numFmtId="0" fontId="150" fillId="0" borderId="0" xfId="5" applyFont="1" applyAlignment="1">
      <alignment horizontal="left"/>
    </xf>
    <xf numFmtId="1" fontId="150" fillId="0" borderId="0" xfId="5" applyNumberFormat="1" applyFont="1" applyAlignment="1">
      <alignment horizontal="center"/>
    </xf>
    <xf numFmtId="0" fontId="73" fillId="0" borderId="0" xfId="5" applyProtection="1">
      <protection locked="0"/>
    </xf>
    <xf numFmtId="0" fontId="97" fillId="6" borderId="116" xfId="0" applyFont="1" applyFill="1" applyBorder="1" applyAlignment="1" applyProtection="1">
      <alignment vertical="center"/>
      <protection hidden="1"/>
    </xf>
    <xf numFmtId="0" fontId="144" fillId="0" borderId="2" xfId="0" applyFont="1" applyBorder="1" applyAlignment="1" applyProtection="1">
      <alignment horizontal="center" vertical="center"/>
      <protection hidden="1"/>
    </xf>
    <xf numFmtId="0" fontId="97" fillId="15" borderId="0" xfId="0" applyFont="1" applyFill="1" applyProtection="1">
      <protection hidden="1"/>
    </xf>
    <xf numFmtId="0" fontId="97" fillId="15" borderId="0" xfId="0" applyFont="1" applyFill="1" applyAlignment="1" applyProtection="1">
      <alignment vertical="center"/>
      <protection hidden="1"/>
    </xf>
    <xf numFmtId="2" fontId="97" fillId="0" borderId="141" xfId="0" applyNumberFormat="1" applyFont="1" applyBorder="1" applyProtection="1">
      <protection hidden="1"/>
    </xf>
    <xf numFmtId="0" fontId="97" fillId="0" borderId="115" xfId="0" applyFont="1" applyBorder="1" applyAlignment="1" applyProtection="1">
      <alignment vertical="center"/>
      <protection hidden="1"/>
    </xf>
    <xf numFmtId="0" fontId="106" fillId="0" borderId="0" xfId="5" applyFont="1" applyAlignment="1">
      <alignment horizontal="center"/>
    </xf>
    <xf numFmtId="0" fontId="106" fillId="0" borderId="0" xfId="5" applyFont="1" applyAlignment="1">
      <alignment horizontal="center" wrapText="1"/>
    </xf>
    <xf numFmtId="175" fontId="97" fillId="0" borderId="39" xfId="5" applyNumberFormat="1" applyFont="1" applyBorder="1" applyAlignment="1">
      <alignment horizontal="center" vertical="center"/>
    </xf>
    <xf numFmtId="0" fontId="97" fillId="0" borderId="2" xfId="5" applyFont="1" applyBorder="1" applyAlignment="1">
      <alignment horizontal="centerContinuous" vertical="center"/>
    </xf>
    <xf numFmtId="0" fontId="97" fillId="0" borderId="39" xfId="5" applyFont="1" applyBorder="1" applyAlignment="1">
      <alignment horizontal="centerContinuous" vertical="center"/>
    </xf>
    <xf numFmtId="0" fontId="97" fillId="0" borderId="0" xfId="5" applyFont="1" applyAlignment="1">
      <alignment horizontal="centerContinuous" vertical="center"/>
    </xf>
    <xf numFmtId="0" fontId="97" fillId="0" borderId="56" xfId="5" applyFont="1" applyBorder="1" applyAlignment="1">
      <alignment horizontal="centerContinuous" vertical="center"/>
    </xf>
    <xf numFmtId="0" fontId="13" fillId="0" borderId="1" xfId="5" applyFont="1" applyBorder="1" applyAlignment="1">
      <alignment horizontal="centerContinuous" vertical="center"/>
    </xf>
    <xf numFmtId="0" fontId="73" fillId="0" borderId="13" xfId="5" applyBorder="1" applyAlignment="1">
      <alignment horizontal="centerContinuous" vertical="center"/>
    </xf>
    <xf numFmtId="0" fontId="73" fillId="0" borderId="15" xfId="5" applyBorder="1" applyAlignment="1">
      <alignment horizontal="centerContinuous" vertical="center"/>
    </xf>
    <xf numFmtId="0" fontId="11" fillId="15" borderId="0" xfId="0" applyFont="1" applyFill="1"/>
    <xf numFmtId="0" fontId="101" fillId="0" borderId="0" xfId="0" applyFont="1" applyAlignment="1" applyProtection="1">
      <alignment vertical="center"/>
      <protection hidden="1"/>
    </xf>
    <xf numFmtId="0" fontId="97" fillId="0" borderId="0" xfId="5" applyFont="1" applyAlignment="1">
      <alignment horizontal="right"/>
    </xf>
    <xf numFmtId="49" fontId="11" fillId="0" borderId="13" xfId="0" applyNumberFormat="1" applyFont="1" applyBorder="1" applyAlignment="1" applyProtection="1">
      <alignment vertical="center"/>
      <protection hidden="1"/>
    </xf>
    <xf numFmtId="49" fontId="6" fillId="0" borderId="15" xfId="0" applyNumberFormat="1" applyFont="1" applyBorder="1" applyAlignment="1" applyProtection="1">
      <alignment vertical="center"/>
      <protection hidden="1"/>
    </xf>
    <xf numFmtId="49" fontId="11" fillId="0" borderId="14" xfId="0" applyNumberFormat="1" applyFont="1" applyBorder="1" applyAlignment="1" applyProtection="1">
      <alignment vertical="center"/>
      <protection hidden="1"/>
    </xf>
    <xf numFmtId="49" fontId="6" fillId="0" borderId="12" xfId="0" applyNumberFormat="1" applyFont="1" applyBorder="1" applyAlignment="1" applyProtection="1">
      <alignment vertical="center"/>
      <protection hidden="1"/>
    </xf>
    <xf numFmtId="49" fontId="6" fillId="0" borderId="13" xfId="0" applyNumberFormat="1" applyFont="1" applyBorder="1" applyAlignment="1" applyProtection="1">
      <alignment vertical="center"/>
      <protection hidden="1"/>
    </xf>
    <xf numFmtId="49" fontId="13" fillId="12" borderId="1" xfId="0" quotePrefix="1" applyNumberFormat="1" applyFont="1" applyFill="1" applyBorder="1" applyAlignment="1" applyProtection="1">
      <alignment vertical="center"/>
      <protection hidden="1"/>
    </xf>
    <xf numFmtId="49" fontId="11" fillId="12" borderId="13" xfId="0" applyNumberFormat="1" applyFont="1" applyFill="1" applyBorder="1" applyAlignment="1" applyProtection="1">
      <alignment vertical="center"/>
      <protection hidden="1"/>
    </xf>
    <xf numFmtId="49" fontId="11" fillId="12" borderId="13" xfId="0" applyNumberFormat="1" applyFont="1" applyFill="1" applyBorder="1" applyProtection="1">
      <protection hidden="1"/>
    </xf>
    <xf numFmtId="49" fontId="6" fillId="12" borderId="13" xfId="0" applyNumberFormat="1" applyFont="1" applyFill="1" applyBorder="1" applyAlignment="1" applyProtection="1">
      <alignment vertical="center"/>
      <protection hidden="1"/>
    </xf>
    <xf numFmtId="49" fontId="0" fillId="12" borderId="13" xfId="0" applyNumberFormat="1" applyFill="1" applyBorder="1" applyProtection="1">
      <protection hidden="1"/>
    </xf>
    <xf numFmtId="49" fontId="43" fillId="12" borderId="13" xfId="0" applyNumberFormat="1" applyFont="1" applyFill="1" applyBorder="1" applyAlignment="1" applyProtection="1">
      <alignment vertical="center"/>
      <protection hidden="1"/>
    </xf>
    <xf numFmtId="49" fontId="6" fillId="12" borderId="15" xfId="0" applyNumberFormat="1" applyFont="1" applyFill="1" applyBorder="1" applyAlignment="1" applyProtection="1">
      <alignment vertical="center"/>
      <protection hidden="1"/>
    </xf>
    <xf numFmtId="49" fontId="11" fillId="12" borderId="14" xfId="0" applyNumberFormat="1" applyFont="1" applyFill="1" applyBorder="1" applyAlignment="1" applyProtection="1">
      <alignment vertical="center"/>
      <protection hidden="1"/>
    </xf>
    <xf numFmtId="49" fontId="0" fillId="12" borderId="14" xfId="0" applyNumberFormat="1" applyFill="1" applyBorder="1" applyProtection="1">
      <protection hidden="1"/>
    </xf>
    <xf numFmtId="49" fontId="6" fillId="12" borderId="12" xfId="0" applyNumberFormat="1" applyFont="1" applyFill="1" applyBorder="1" applyAlignment="1" applyProtection="1">
      <alignment vertical="center"/>
      <protection hidden="1"/>
    </xf>
    <xf numFmtId="49" fontId="127" fillId="12" borderId="11" xfId="0" applyNumberFormat="1" applyFont="1" applyFill="1" applyBorder="1" applyAlignment="1" applyProtection="1">
      <alignment vertical="center"/>
      <protection hidden="1"/>
    </xf>
    <xf numFmtId="49" fontId="6" fillId="0" borderId="14" xfId="0" applyNumberFormat="1" applyFont="1" applyBorder="1" applyAlignment="1" applyProtection="1">
      <alignment vertical="center"/>
      <protection hidden="1"/>
    </xf>
    <xf numFmtId="49" fontId="11" fillId="0" borderId="1" xfId="0" quotePrefix="1" applyNumberFormat="1" applyFont="1" applyBorder="1" applyAlignment="1" applyProtection="1">
      <alignment vertical="center"/>
      <protection hidden="1"/>
    </xf>
    <xf numFmtId="49" fontId="6" fillId="0" borderId="16" xfId="0" applyNumberFormat="1" applyFont="1" applyBorder="1" applyAlignment="1" applyProtection="1">
      <alignment vertical="center"/>
      <protection hidden="1"/>
    </xf>
    <xf numFmtId="168" fontId="67" fillId="0" borderId="16" xfId="0" applyNumberFormat="1" applyFont="1" applyBorder="1" applyProtection="1">
      <protection hidden="1"/>
    </xf>
    <xf numFmtId="0" fontId="11" fillId="0" borderId="142" xfId="0" applyFont="1" applyBorder="1" applyAlignment="1" applyProtection="1">
      <alignment horizontal="left" vertical="center"/>
      <protection hidden="1"/>
    </xf>
    <xf numFmtId="0" fontId="11" fillId="0" borderId="143" xfId="0" applyFont="1" applyBorder="1" applyAlignment="1" applyProtection="1">
      <alignment horizontal="left" vertical="center"/>
      <protection hidden="1"/>
    </xf>
    <xf numFmtId="0" fontId="11" fillId="0" borderId="144" xfId="0" applyFont="1" applyBorder="1" applyAlignment="1" applyProtection="1">
      <alignment horizontal="left" vertical="center"/>
      <protection hidden="1"/>
    </xf>
    <xf numFmtId="0" fontId="11" fillId="0" borderId="0" xfId="0" applyFont="1" applyAlignment="1" applyProtection="1">
      <alignment horizontal="left" vertical="center"/>
      <protection hidden="1"/>
    </xf>
    <xf numFmtId="0" fontId="11" fillId="0" borderId="145" xfId="0" applyFont="1" applyBorder="1" applyAlignment="1" applyProtection="1">
      <alignment horizontal="left" vertical="center"/>
      <protection hidden="1"/>
    </xf>
    <xf numFmtId="0" fontId="11" fillId="0" borderId="146" xfId="0" applyFont="1" applyBorder="1" applyAlignment="1" applyProtection="1">
      <alignment horizontal="left" vertical="center"/>
      <protection hidden="1"/>
    </xf>
    <xf numFmtId="0" fontId="97" fillId="0" borderId="79" xfId="0" applyFont="1" applyBorder="1" applyAlignment="1" applyProtection="1">
      <alignment vertical="center"/>
      <protection hidden="1"/>
    </xf>
    <xf numFmtId="0" fontId="110" fillId="0" borderId="79" xfId="0" applyFont="1" applyBorder="1" applyAlignment="1" applyProtection="1">
      <alignment vertical="center"/>
      <protection hidden="1"/>
    </xf>
    <xf numFmtId="0" fontId="6" fillId="0" borderId="95" xfId="0" applyFont="1" applyBorder="1" applyAlignment="1" applyProtection="1">
      <alignment horizontal="center" vertical="center"/>
      <protection hidden="1"/>
    </xf>
    <xf numFmtId="0" fontId="97" fillId="0" borderId="0" xfId="0" applyFont="1" applyAlignment="1" applyProtection="1">
      <alignment horizontal="right"/>
      <protection hidden="1"/>
    </xf>
    <xf numFmtId="0" fontId="22" fillId="0" borderId="0" xfId="0" applyFo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6" fillId="0" borderId="115" xfId="0" applyFont="1" applyBorder="1" applyAlignment="1" applyProtection="1">
      <alignment horizontal="center" vertical="center"/>
      <protection hidden="1"/>
    </xf>
    <xf numFmtId="0" fontId="6" fillId="0" borderId="30" xfId="0" applyFont="1" applyBorder="1" applyAlignment="1" applyProtection="1">
      <alignment horizontal="center" vertical="center"/>
      <protection hidden="1"/>
    </xf>
    <xf numFmtId="0" fontId="6" fillId="0" borderId="33" xfId="0" applyFont="1" applyBorder="1" applyAlignment="1" applyProtection="1">
      <alignment horizontal="center" vertical="center"/>
      <protection hidden="1"/>
    </xf>
    <xf numFmtId="0" fontId="13" fillId="0" borderId="147" xfId="0" applyFont="1" applyBorder="1" applyAlignment="1" applyProtection="1">
      <alignment vertical="center"/>
      <protection hidden="1"/>
    </xf>
    <xf numFmtId="0" fontId="6" fillId="0" borderId="90" xfId="0" applyFont="1" applyBorder="1" applyAlignment="1" applyProtection="1">
      <alignment vertical="center"/>
      <protection hidden="1"/>
    </xf>
    <xf numFmtId="0" fontId="6" fillId="0" borderId="28" xfId="0" applyFont="1" applyBorder="1" applyAlignment="1" applyProtection="1">
      <alignment vertical="center"/>
      <protection hidden="1"/>
    </xf>
    <xf numFmtId="0" fontId="6" fillId="0" borderId="26" xfId="0" applyFont="1" applyBorder="1" applyAlignment="1" applyProtection="1">
      <alignment horizontal="center" vertical="center"/>
      <protection hidden="1"/>
    </xf>
    <xf numFmtId="0" fontId="6" fillId="0" borderId="142" xfId="0" applyFont="1" applyBorder="1" applyAlignment="1" applyProtection="1">
      <alignment horizontal="center" vertical="center"/>
      <protection hidden="1"/>
    </xf>
    <xf numFmtId="0" fontId="6" fillId="0" borderId="144" xfId="0" applyFont="1" applyBorder="1" applyAlignment="1" applyProtection="1">
      <alignment horizontal="center" vertical="center"/>
      <protection hidden="1"/>
    </xf>
    <xf numFmtId="0" fontId="6" fillId="0" borderId="148" xfId="0" applyFont="1" applyBorder="1" applyAlignment="1" applyProtection="1">
      <alignment horizontal="center" vertical="center"/>
      <protection hidden="1"/>
    </xf>
    <xf numFmtId="0" fontId="6" fillId="0" borderId="146" xfId="0" applyFont="1" applyBorder="1" applyAlignment="1" applyProtection="1">
      <alignment horizontal="center" vertical="center"/>
      <protection hidden="1"/>
    </xf>
    <xf numFmtId="0" fontId="6" fillId="0" borderId="143" xfId="0" applyFont="1" applyBorder="1" applyAlignment="1" applyProtection="1">
      <alignment horizontal="center" vertical="center"/>
      <protection hidden="1"/>
    </xf>
    <xf numFmtId="0" fontId="6" fillId="0" borderId="149" xfId="0" applyFont="1" applyBorder="1" applyAlignment="1" applyProtection="1">
      <alignment horizontal="center" vertical="center"/>
      <protection hidden="1"/>
    </xf>
    <xf numFmtId="17" fontId="6" fillId="0" borderId="143" xfId="0" applyNumberFormat="1" applyFont="1" applyBorder="1" applyAlignment="1" applyProtection="1">
      <alignment horizontal="center" vertical="center"/>
      <protection hidden="1"/>
    </xf>
    <xf numFmtId="0" fontId="6" fillId="0" borderId="63" xfId="0" applyFont="1" applyBorder="1" applyAlignment="1" applyProtection="1">
      <alignment horizontal="center" vertical="center"/>
      <protection hidden="1"/>
    </xf>
    <xf numFmtId="0" fontId="6" fillId="0" borderId="69" xfId="0" applyFont="1" applyBorder="1" applyAlignment="1" applyProtection="1">
      <alignment horizontal="center" vertical="center"/>
      <protection hidden="1"/>
    </xf>
    <xf numFmtId="0" fontId="6" fillId="0" borderId="63" xfId="0" applyFont="1" applyBorder="1" applyAlignment="1" applyProtection="1">
      <alignment vertical="center"/>
      <protection hidden="1"/>
    </xf>
    <xf numFmtId="0" fontId="12" fillId="0" borderId="63" xfId="0" applyFont="1" applyBorder="1" applyAlignment="1" applyProtection="1">
      <alignment vertical="center"/>
      <protection hidden="1"/>
    </xf>
    <xf numFmtId="0" fontId="6" fillId="0" borderId="150" xfId="0" applyFont="1" applyBorder="1" applyAlignment="1" applyProtection="1">
      <alignment horizontal="center" vertical="center"/>
      <protection hidden="1"/>
    </xf>
    <xf numFmtId="0" fontId="6" fillId="0" borderId="151" xfId="0" applyFont="1" applyBorder="1" applyAlignment="1" applyProtection="1">
      <alignment horizontal="center" vertical="center"/>
      <protection hidden="1"/>
    </xf>
    <xf numFmtId="0" fontId="6" fillId="0" borderId="145" xfId="0" applyFont="1" applyBorder="1" applyAlignment="1" applyProtection="1">
      <alignment horizontal="center" vertical="center"/>
      <protection hidden="1"/>
    </xf>
    <xf numFmtId="0" fontId="6" fillId="0" borderId="146" xfId="0" applyFont="1" applyBorder="1" applyAlignment="1" applyProtection="1">
      <alignment horizontal="center" vertical="top"/>
      <protection hidden="1"/>
    </xf>
    <xf numFmtId="0" fontId="6" fillId="0" borderId="152" xfId="0" applyFont="1" applyBorder="1" applyAlignment="1" applyProtection="1">
      <alignment horizontal="center" vertical="center"/>
      <protection hidden="1"/>
    </xf>
    <xf numFmtId="0" fontId="6" fillId="0" borderId="79" xfId="0" applyFont="1" applyBorder="1" applyAlignment="1" applyProtection="1">
      <alignment horizontal="center" vertical="center"/>
      <protection hidden="1"/>
    </xf>
    <xf numFmtId="49" fontId="18" fillId="0" borderId="0" xfId="0" quotePrefix="1" applyNumberFormat="1" applyFont="1" applyAlignment="1" applyProtection="1">
      <alignment vertical="center"/>
      <protection hidden="1"/>
    </xf>
    <xf numFmtId="0" fontId="97" fillId="0" borderId="0" xfId="4" applyFont="1" applyAlignment="1">
      <alignment vertical="center"/>
    </xf>
    <xf numFmtId="0" fontId="97" fillId="0" borderId="31" xfId="4" applyFont="1" applyBorder="1"/>
    <xf numFmtId="0" fontId="97" fillId="0" borderId="0" xfId="4" applyFont="1"/>
    <xf numFmtId="49" fontId="101" fillId="0" borderId="0" xfId="0" quotePrefix="1" applyNumberFormat="1" applyFont="1" applyAlignment="1" applyProtection="1">
      <alignment vertical="center"/>
      <protection hidden="1"/>
    </xf>
    <xf numFmtId="49" fontId="145" fillId="0" borderId="0" xfId="0" applyNumberFormat="1" applyFont="1" applyAlignment="1" applyProtection="1">
      <alignment vertical="center"/>
      <protection hidden="1"/>
    </xf>
    <xf numFmtId="0" fontId="11" fillId="0" borderId="13" xfId="0" applyFont="1" applyBorder="1" applyProtection="1">
      <protection hidden="1"/>
    </xf>
    <xf numFmtId="0" fontId="119" fillId="0" borderId="1" xfId="0" applyFont="1" applyBorder="1" applyProtection="1">
      <protection hidden="1"/>
    </xf>
    <xf numFmtId="0" fontId="159" fillId="0" borderId="2" xfId="0" applyFont="1" applyBorder="1" applyProtection="1">
      <protection hidden="1"/>
    </xf>
    <xf numFmtId="0" fontId="13" fillId="0" borderId="7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6" borderId="116" xfId="0" applyFont="1" applyFill="1" applyBorder="1" applyAlignment="1">
      <alignment vertical="center"/>
    </xf>
    <xf numFmtId="0" fontId="11" fillId="0" borderId="110" xfId="0" applyFont="1" applyBorder="1" applyAlignment="1">
      <alignment vertical="center"/>
    </xf>
    <xf numFmtId="0" fontId="11" fillId="0" borderId="118" xfId="0" applyFont="1" applyBorder="1" applyAlignment="1">
      <alignment vertical="center"/>
    </xf>
    <xf numFmtId="0" fontId="11" fillId="0" borderId="114" xfId="0" applyFont="1" applyBorder="1" applyAlignment="1">
      <alignment vertical="center"/>
    </xf>
    <xf numFmtId="0" fontId="11" fillId="0" borderId="132" xfId="0" applyFont="1" applyBorder="1" applyAlignment="1">
      <alignment vertical="center"/>
    </xf>
    <xf numFmtId="0" fontId="11" fillId="6" borderId="116" xfId="0" applyFont="1" applyFill="1" applyBorder="1" applyAlignment="1">
      <alignment horizontal="left" vertical="center"/>
    </xf>
    <xf numFmtId="0" fontId="58" fillId="0" borderId="132" xfId="0" applyFont="1" applyBorder="1" applyAlignment="1">
      <alignment vertical="center"/>
    </xf>
    <xf numFmtId="0" fontId="58" fillId="0" borderId="0" xfId="0" applyFont="1" applyAlignment="1">
      <alignment vertical="center"/>
    </xf>
    <xf numFmtId="0" fontId="11" fillId="0" borderId="117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11" fillId="0" borderId="70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1" fillId="0" borderId="134" xfId="0" applyFont="1" applyBorder="1" applyAlignment="1">
      <alignment vertical="center"/>
    </xf>
    <xf numFmtId="0" fontId="11" fillId="0" borderId="153" xfId="0" applyFont="1" applyBorder="1" applyAlignment="1">
      <alignment vertical="center"/>
    </xf>
    <xf numFmtId="0" fontId="11" fillId="0" borderId="135" xfId="0" applyFont="1" applyBorder="1" applyAlignment="1">
      <alignment vertical="center"/>
    </xf>
    <xf numFmtId="0" fontId="11" fillId="0" borderId="132" xfId="0" applyFont="1" applyBorder="1" applyAlignment="1">
      <alignment vertical="top"/>
    </xf>
    <xf numFmtId="0" fontId="11" fillId="0" borderId="154" xfId="0" applyFont="1" applyBorder="1" applyAlignment="1">
      <alignment vertical="center"/>
    </xf>
    <xf numFmtId="0" fontId="11" fillId="15" borderId="0" xfId="0" applyFont="1" applyFill="1" applyAlignment="1">
      <alignment vertical="center"/>
    </xf>
    <xf numFmtId="0" fontId="11" fillId="0" borderId="79" xfId="0" applyFont="1" applyBorder="1" applyAlignment="1">
      <alignment horizontal="left" vertical="center"/>
    </xf>
    <xf numFmtId="0" fontId="12" fillId="0" borderId="0" xfId="0" applyFont="1" applyProtection="1">
      <protection hidden="1"/>
    </xf>
    <xf numFmtId="0" fontId="6" fillId="0" borderId="14" xfId="0" applyFont="1" applyBorder="1" applyAlignment="1" applyProtection="1">
      <alignment horizontal="center"/>
      <protection hidden="1"/>
    </xf>
    <xf numFmtId="0" fontId="6" fillId="12" borderId="108" xfId="0" applyFont="1" applyFill="1" applyBorder="1" applyAlignment="1" applyProtection="1">
      <alignment horizontal="center"/>
      <protection hidden="1"/>
    </xf>
    <xf numFmtId="0" fontId="161" fillId="0" borderId="0" xfId="4" applyFont="1" applyProtection="1">
      <protection hidden="1"/>
    </xf>
    <xf numFmtId="0" fontId="13" fillId="0" borderId="7" xfId="0" applyFont="1" applyBorder="1" applyAlignment="1">
      <alignment horizontal="center" vertical="center"/>
    </xf>
    <xf numFmtId="0" fontId="13" fillId="0" borderId="6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64" xfId="0" applyFont="1" applyBorder="1" applyAlignment="1">
      <alignment horizontal="center" vertical="center"/>
    </xf>
    <xf numFmtId="0" fontId="11" fillId="0" borderId="8" xfId="0" applyFont="1" applyBorder="1" applyAlignment="1">
      <alignment horizontal="centerContinuous" vertical="center"/>
    </xf>
    <xf numFmtId="0" fontId="11" fillId="0" borderId="142" xfId="0" applyFont="1" applyBorder="1" applyAlignment="1">
      <alignment vertical="center"/>
    </xf>
    <xf numFmtId="2" fontId="11" fillId="0" borderId="110" xfId="0" applyNumberFormat="1" applyFont="1" applyBorder="1" applyAlignment="1">
      <alignment vertical="center"/>
    </xf>
    <xf numFmtId="0" fontId="11" fillId="0" borderId="144" xfId="0" applyFont="1" applyBorder="1" applyAlignment="1">
      <alignment vertical="center"/>
    </xf>
    <xf numFmtId="2" fontId="11" fillId="0" borderId="118" xfId="0" applyNumberFormat="1" applyFont="1" applyBorder="1" applyAlignment="1">
      <alignment vertical="center"/>
    </xf>
    <xf numFmtId="0" fontId="97" fillId="0" borderId="156" xfId="0" applyFont="1" applyBorder="1" applyAlignment="1">
      <alignment horizontal="right" vertical="center"/>
    </xf>
    <xf numFmtId="0" fontId="11" fillId="0" borderId="118" xfId="0" applyFont="1" applyBorder="1" applyAlignment="1">
      <alignment horizontal="center" vertical="center"/>
    </xf>
    <xf numFmtId="0" fontId="11" fillId="0" borderId="20" xfId="0" applyFont="1" applyBorder="1" applyAlignment="1">
      <alignment horizontal="right" vertical="center"/>
    </xf>
    <xf numFmtId="0" fontId="11" fillId="0" borderId="118" xfId="0" applyFont="1" applyBorder="1" applyAlignment="1">
      <alignment horizontal="right" vertical="center"/>
    </xf>
    <xf numFmtId="1" fontId="97" fillId="0" borderId="156" xfId="0" applyNumberFormat="1" applyFont="1" applyBorder="1" applyAlignment="1">
      <alignment horizontal="right" vertical="center"/>
    </xf>
    <xf numFmtId="0" fontId="11" fillId="0" borderId="146" xfId="0" applyFont="1" applyBorder="1" applyAlignment="1">
      <alignment vertical="center"/>
    </xf>
    <xf numFmtId="2" fontId="11" fillId="0" borderId="132" xfId="0" applyNumberFormat="1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2" fontId="11" fillId="0" borderId="0" xfId="0" applyNumberFormat="1" applyFont="1" applyAlignment="1">
      <alignment vertical="center"/>
    </xf>
    <xf numFmtId="0" fontId="97" fillId="0" borderId="159" xfId="0" applyFont="1" applyBorder="1" applyAlignment="1">
      <alignment horizontal="right" vertical="center"/>
    </xf>
    <xf numFmtId="0" fontId="11" fillId="0" borderId="28" xfId="0" applyFont="1" applyBorder="1" applyAlignment="1">
      <alignment horizontal="center" vertical="center"/>
    </xf>
    <xf numFmtId="0" fontId="97" fillId="0" borderId="160" xfId="0" applyFont="1" applyBorder="1" applyAlignment="1">
      <alignment horizontal="centerContinuous" vertical="center"/>
    </xf>
    <xf numFmtId="0" fontId="97" fillId="0" borderId="55" xfId="0" applyFont="1" applyBorder="1" applyAlignment="1">
      <alignment horizontal="right" vertical="center"/>
    </xf>
    <xf numFmtId="0" fontId="11" fillId="6" borderId="161" xfId="0" applyFont="1" applyFill="1" applyBorder="1" applyAlignment="1">
      <alignment vertical="center"/>
    </xf>
    <xf numFmtId="0" fontId="11" fillId="0" borderId="37" xfId="0" applyFont="1" applyBorder="1" applyAlignment="1">
      <alignment vertical="center"/>
    </xf>
    <xf numFmtId="0" fontId="11" fillId="0" borderId="110" xfId="0" applyFont="1" applyBorder="1" applyAlignment="1">
      <alignment horizontal="center" vertical="center"/>
    </xf>
    <xf numFmtId="0" fontId="11" fillId="0" borderId="155" xfId="0" applyFont="1" applyBorder="1" applyAlignment="1">
      <alignment vertical="center"/>
    </xf>
    <xf numFmtId="0" fontId="11" fillId="0" borderId="117" xfId="0" applyFont="1" applyBorder="1" applyAlignment="1">
      <alignment horizontal="center" vertical="center"/>
    </xf>
    <xf numFmtId="0" fontId="11" fillId="0" borderId="143" xfId="0" applyFont="1" applyBorder="1" applyAlignment="1">
      <alignment vertical="center"/>
    </xf>
    <xf numFmtId="0" fontId="11" fillId="0" borderId="162" xfId="0" applyFont="1" applyBorder="1" applyAlignment="1">
      <alignment vertical="center"/>
    </xf>
    <xf numFmtId="0" fontId="11" fillId="0" borderId="156" xfId="0" applyFont="1" applyBorder="1" applyAlignment="1">
      <alignment vertical="center"/>
    </xf>
    <xf numFmtId="0" fontId="13" fillId="0" borderId="6" xfId="0" applyFont="1" applyBorder="1" applyAlignment="1">
      <alignment horizontal="center" vertical="center"/>
    </xf>
    <xf numFmtId="0" fontId="13" fillId="0" borderId="62" xfId="0" applyFont="1" applyBorder="1" applyAlignment="1">
      <alignment horizontal="center" vertical="center"/>
    </xf>
    <xf numFmtId="0" fontId="11" fillId="0" borderId="132" xfId="0" applyFont="1" applyBorder="1" applyAlignment="1">
      <alignment horizontal="center" vertical="center"/>
    </xf>
    <xf numFmtId="0" fontId="11" fillId="0" borderId="158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11" fillId="0" borderId="20" xfId="0" applyFont="1" applyBorder="1" applyAlignment="1">
      <alignment horizontal="center" vertical="center"/>
    </xf>
    <xf numFmtId="0" fontId="11" fillId="0" borderId="157" xfId="0" applyFont="1" applyBorder="1" applyAlignment="1">
      <alignment vertical="center"/>
    </xf>
    <xf numFmtId="0" fontId="11" fillId="0" borderId="9" xfId="0" applyFont="1" applyBorder="1" applyAlignment="1">
      <alignment horizontal="center" vertical="center"/>
    </xf>
    <xf numFmtId="0" fontId="11" fillId="0" borderId="63" xfId="0" applyFont="1" applyBorder="1" applyAlignment="1">
      <alignment vertical="center"/>
    </xf>
    <xf numFmtId="0" fontId="11" fillId="0" borderId="68" xfId="0" applyFont="1" applyBorder="1" applyAlignment="1">
      <alignment vertical="center"/>
    </xf>
    <xf numFmtId="0" fontId="11" fillId="0" borderId="70" xfId="0" applyFont="1" applyBorder="1" applyAlignment="1">
      <alignment horizontal="center" vertical="center"/>
    </xf>
    <xf numFmtId="0" fontId="11" fillId="0" borderId="69" xfId="0" applyFont="1" applyBorder="1" applyAlignment="1">
      <alignment vertical="center"/>
    </xf>
    <xf numFmtId="0" fontId="11" fillId="0" borderId="55" xfId="0" applyFont="1" applyBorder="1" applyAlignment="1">
      <alignment vertical="center"/>
    </xf>
    <xf numFmtId="0" fontId="11" fillId="6" borderId="116" xfId="0" applyFont="1" applyFill="1" applyBorder="1" applyAlignment="1">
      <alignment horizontal="center" vertical="center"/>
    </xf>
    <xf numFmtId="0" fontId="11" fillId="6" borderId="163" xfId="0" applyFont="1" applyFill="1" applyBorder="1" applyAlignment="1">
      <alignment vertical="center"/>
    </xf>
    <xf numFmtId="0" fontId="97" fillId="6" borderId="161" xfId="0" applyFont="1" applyFill="1" applyBorder="1" applyAlignment="1">
      <alignment vertical="center"/>
    </xf>
    <xf numFmtId="0" fontId="13" fillId="0" borderId="9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3" fillId="0" borderId="56" xfId="0" applyFont="1" applyBorder="1" applyAlignment="1">
      <alignment horizontal="center" vertical="center"/>
    </xf>
    <xf numFmtId="0" fontId="144" fillId="0" borderId="25" xfId="0" applyFont="1" applyBorder="1" applyAlignment="1">
      <alignment horizontal="center"/>
    </xf>
    <xf numFmtId="0" fontId="97" fillId="0" borderId="9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Continuous" vertical="center"/>
    </xf>
    <xf numFmtId="0" fontId="11" fillId="0" borderId="2" xfId="0" applyFont="1" applyBorder="1" applyAlignment="1">
      <alignment horizontal="centerContinuous" vertical="center"/>
    </xf>
    <xf numFmtId="0" fontId="11" fillId="0" borderId="9" xfId="0" applyFont="1" applyBorder="1" applyAlignment="1">
      <alignment horizontal="centerContinuous" vertical="center"/>
    </xf>
    <xf numFmtId="0" fontId="11" fillId="6" borderId="163" xfId="0" applyFont="1" applyFill="1" applyBorder="1" applyAlignment="1">
      <alignment horizontal="left" vertical="center"/>
    </xf>
    <xf numFmtId="0" fontId="97" fillId="6" borderId="161" xfId="0" applyFont="1" applyFill="1" applyBorder="1"/>
    <xf numFmtId="0" fontId="11" fillId="0" borderId="134" xfId="0" applyFont="1" applyBorder="1" applyAlignment="1">
      <alignment horizontal="center" vertical="center"/>
    </xf>
    <xf numFmtId="165" fontId="11" fillId="0" borderId="134" xfId="0" applyNumberFormat="1" applyFont="1" applyBorder="1" applyAlignment="1">
      <alignment vertical="center"/>
    </xf>
    <xf numFmtId="0" fontId="11" fillId="0" borderId="164" xfId="0" applyFont="1" applyBorder="1" applyAlignment="1">
      <alignment vertical="center"/>
    </xf>
    <xf numFmtId="0" fontId="11" fillId="0" borderId="165" xfId="0" applyFont="1" applyBorder="1" applyAlignment="1">
      <alignment vertical="center"/>
    </xf>
    <xf numFmtId="0" fontId="11" fillId="0" borderId="166" xfId="0" applyFont="1" applyBorder="1" applyAlignment="1">
      <alignment vertical="center"/>
    </xf>
    <xf numFmtId="0" fontId="11" fillId="0" borderId="92" xfId="0" applyFont="1" applyBorder="1" applyAlignment="1">
      <alignment vertical="center"/>
    </xf>
    <xf numFmtId="0" fontId="11" fillId="0" borderId="93" xfId="0" applyFont="1" applyBorder="1" applyAlignment="1">
      <alignment vertical="center"/>
    </xf>
    <xf numFmtId="0" fontId="11" fillId="0" borderId="50" xfId="0" applyFont="1" applyBorder="1" applyAlignment="1">
      <alignment vertical="center"/>
    </xf>
    <xf numFmtId="0" fontId="11" fillId="0" borderId="59" xfId="0" applyFont="1" applyBorder="1" applyAlignment="1">
      <alignment vertical="center"/>
    </xf>
    <xf numFmtId="0" fontId="11" fillId="0" borderId="97" xfId="0" applyFont="1" applyBorder="1" applyAlignment="1">
      <alignment vertical="center"/>
    </xf>
    <xf numFmtId="0" fontId="11" fillId="0" borderId="98" xfId="0" applyFont="1" applyBorder="1" applyAlignment="1">
      <alignment vertical="center"/>
    </xf>
    <xf numFmtId="0" fontId="11" fillId="0" borderId="39" xfId="0" applyFont="1" applyBorder="1" applyAlignment="1">
      <alignment vertical="center"/>
    </xf>
    <xf numFmtId="0" fontId="11" fillId="0" borderId="56" xfId="0" applyFont="1" applyBorder="1" applyAlignment="1">
      <alignment vertical="center"/>
    </xf>
    <xf numFmtId="165" fontId="11" fillId="6" borderId="116" xfId="0" applyNumberFormat="1" applyFont="1" applyFill="1" applyBorder="1" applyAlignment="1">
      <alignment horizontal="left" vertical="center"/>
    </xf>
    <xf numFmtId="0" fontId="11" fillId="6" borderId="170" xfId="0" applyFont="1" applyFill="1" applyBorder="1" applyAlignment="1">
      <alignment horizontal="left" vertical="center"/>
    </xf>
    <xf numFmtId="0" fontId="11" fillId="6" borderId="171" xfId="0" applyFont="1" applyFill="1" applyBorder="1" applyAlignment="1">
      <alignment horizontal="left" vertical="center"/>
    </xf>
    <xf numFmtId="2" fontId="97" fillId="0" borderId="172" xfId="0" applyNumberFormat="1" applyFont="1" applyBorder="1"/>
    <xf numFmtId="2" fontId="97" fillId="0" borderId="168" xfId="0" applyNumberFormat="1" applyFont="1" applyBorder="1"/>
    <xf numFmtId="165" fontId="11" fillId="0" borderId="50" xfId="0" applyNumberFormat="1" applyFont="1" applyBorder="1" applyAlignment="1">
      <alignment vertical="center"/>
    </xf>
    <xf numFmtId="0" fontId="11" fillId="0" borderId="173" xfId="0" applyFont="1" applyBorder="1" applyAlignment="1">
      <alignment vertical="center"/>
    </xf>
    <xf numFmtId="0" fontId="11" fillId="0" borderId="174" xfId="0" applyFont="1" applyBorder="1" applyAlignment="1">
      <alignment vertical="center"/>
    </xf>
    <xf numFmtId="0" fontId="11" fillId="6" borderId="175" xfId="0" applyFont="1" applyFill="1" applyBorder="1" applyAlignment="1">
      <alignment horizontal="center" vertical="center"/>
    </xf>
    <xf numFmtId="0" fontId="11" fillId="6" borderId="176" xfId="0" applyFont="1" applyFill="1" applyBorder="1" applyAlignment="1">
      <alignment horizontal="center" vertical="center"/>
    </xf>
    <xf numFmtId="0" fontId="11" fillId="6" borderId="177" xfId="0" applyFont="1" applyFill="1" applyBorder="1" applyAlignment="1">
      <alignment horizontal="center" vertical="center"/>
    </xf>
    <xf numFmtId="0" fontId="11" fillId="6" borderId="171" xfId="0" applyFont="1" applyFill="1" applyBorder="1" applyAlignment="1">
      <alignment horizontal="center" vertical="center"/>
    </xf>
    <xf numFmtId="0" fontId="11" fillId="0" borderId="178" xfId="0" applyFont="1" applyBorder="1" applyAlignment="1">
      <alignment vertical="center"/>
    </xf>
    <xf numFmtId="0" fontId="11" fillId="0" borderId="179" xfId="0" applyFont="1" applyBorder="1" applyAlignment="1">
      <alignment vertical="center"/>
    </xf>
    <xf numFmtId="0" fontId="97" fillId="0" borderId="172" xfId="0" applyFont="1" applyBorder="1"/>
    <xf numFmtId="166" fontId="97" fillId="0" borderId="168" xfId="0" applyNumberFormat="1" applyFont="1" applyBorder="1"/>
    <xf numFmtId="0" fontId="11" fillId="0" borderId="33" xfId="0" applyFont="1" applyBorder="1" applyAlignment="1">
      <alignment vertical="center"/>
    </xf>
    <xf numFmtId="0" fontId="11" fillId="0" borderId="95" xfId="0" applyFont="1" applyBorder="1" applyAlignment="1">
      <alignment vertical="center"/>
    </xf>
    <xf numFmtId="2" fontId="11" fillId="0" borderId="50" xfId="0" applyNumberFormat="1" applyFont="1" applyBorder="1" applyAlignment="1">
      <alignment vertical="center"/>
    </xf>
    <xf numFmtId="2" fontId="11" fillId="0" borderId="59" xfId="0" applyNumberFormat="1" applyFont="1" applyBorder="1" applyAlignment="1">
      <alignment vertical="center"/>
    </xf>
    <xf numFmtId="0" fontId="11" fillId="0" borderId="132" xfId="0" applyFont="1" applyBorder="1" applyAlignment="1">
      <alignment horizontal="center" vertical="top"/>
    </xf>
    <xf numFmtId="0" fontId="11" fillId="0" borderId="97" xfId="0" applyFont="1" applyBorder="1" applyAlignment="1">
      <alignment vertical="top"/>
    </xf>
    <xf numFmtId="2" fontId="97" fillId="0" borderId="169" xfId="0" applyNumberFormat="1" applyFont="1" applyBorder="1"/>
    <xf numFmtId="0" fontId="11" fillId="0" borderId="180" xfId="0" applyFont="1" applyBorder="1" applyAlignment="1">
      <alignment vertical="center"/>
    </xf>
    <xf numFmtId="0" fontId="97" fillId="0" borderId="0" xfId="0" applyFont="1"/>
    <xf numFmtId="49" fontId="28" fillId="0" borderId="0" xfId="1" applyNumberFormat="1" applyFont="1" applyAlignment="1" applyProtection="1">
      <alignment vertical="center"/>
      <protection hidden="1"/>
    </xf>
    <xf numFmtId="0" fontId="6" fillId="0" borderId="0" xfId="0" quotePrefix="1" applyFont="1" applyAlignment="1">
      <alignment horizontal="left" vertical="top"/>
    </xf>
    <xf numFmtId="49" fontId="164" fillId="0" borderId="0" xfId="0" applyNumberFormat="1" applyFont="1" applyAlignment="1" applyProtection="1">
      <alignment vertical="center"/>
      <protection hidden="1"/>
    </xf>
    <xf numFmtId="0" fontId="119" fillId="0" borderId="2" xfId="0" applyFont="1" applyBorder="1" applyProtection="1">
      <protection hidden="1"/>
    </xf>
    <xf numFmtId="0" fontId="167" fillId="0" borderId="0" xfId="0" applyFont="1" applyAlignment="1">
      <alignment horizontal="right" vertical="center"/>
    </xf>
    <xf numFmtId="10" fontId="142" fillId="0" borderId="0" xfId="3" applyNumberFormat="1" applyFont="1" applyBorder="1" applyAlignment="1" applyProtection="1">
      <alignment horizontal="center" vertical="center"/>
      <protection hidden="1"/>
    </xf>
    <xf numFmtId="0" fontId="151" fillId="0" borderId="0" xfId="0" applyFont="1" applyAlignment="1" applyProtection="1">
      <alignment horizontal="left" vertical="center"/>
      <protection hidden="1"/>
    </xf>
    <xf numFmtId="0" fontId="106" fillId="0" borderId="0" xfId="0" applyFont="1" applyAlignment="1" applyProtection="1">
      <alignment horizontal="center"/>
      <protection hidden="1"/>
    </xf>
    <xf numFmtId="3" fontId="13" fillId="0" borderId="0" xfId="0" applyNumberFormat="1" applyFont="1" applyAlignment="1" applyProtection="1">
      <alignment horizontal="right" vertical="center"/>
      <protection hidden="1"/>
    </xf>
    <xf numFmtId="0" fontId="11" fillId="0" borderId="106" xfId="0" applyFont="1" applyBorder="1" applyAlignment="1" applyProtection="1">
      <alignment vertical="center"/>
      <protection hidden="1"/>
    </xf>
    <xf numFmtId="0" fontId="13" fillId="0" borderId="0" xfId="0" applyFont="1" applyAlignment="1" applyProtection="1">
      <alignment vertical="top"/>
      <protection hidden="1"/>
    </xf>
    <xf numFmtId="0" fontId="13" fillId="0" borderId="11" xfId="0" applyFont="1" applyBorder="1" applyAlignment="1" applyProtection="1">
      <alignment horizontal="center" vertical="center"/>
      <protection hidden="1"/>
    </xf>
    <xf numFmtId="0" fontId="13" fillId="0" borderId="12" xfId="0" applyFont="1" applyBorder="1" applyAlignment="1" applyProtection="1">
      <alignment horizontal="center" vertical="center"/>
      <protection hidden="1"/>
    </xf>
    <xf numFmtId="2" fontId="13" fillId="0" borderId="11" xfId="0" applyNumberFormat="1" applyFont="1" applyBorder="1" applyAlignment="1" applyProtection="1">
      <alignment vertical="center"/>
      <protection hidden="1"/>
    </xf>
    <xf numFmtId="2" fontId="13" fillId="0" borderId="1" xfId="0" applyNumberFormat="1" applyFont="1" applyBorder="1" applyAlignment="1" applyProtection="1">
      <alignment vertical="center"/>
      <protection hidden="1"/>
    </xf>
    <xf numFmtId="0" fontId="13" fillId="0" borderId="109" xfId="0" applyFont="1" applyBorder="1" applyAlignment="1" applyProtection="1">
      <alignment horizontal="center" vertical="center"/>
      <protection hidden="1"/>
    </xf>
    <xf numFmtId="1" fontId="166" fillId="0" borderId="0" xfId="0" applyNumberFormat="1" applyFont="1" applyAlignment="1" applyProtection="1">
      <alignment horizontal="center" vertical="center"/>
      <protection hidden="1"/>
    </xf>
    <xf numFmtId="0" fontId="119" fillId="0" borderId="0" xfId="0" applyFont="1" applyAlignment="1" applyProtection="1">
      <alignment horizontal="center"/>
      <protection hidden="1"/>
    </xf>
    <xf numFmtId="0" fontId="119" fillId="0" borderId="0" xfId="0" applyFont="1" applyAlignment="1" applyProtection="1">
      <alignment horizontal="center" vertical="center"/>
      <protection hidden="1"/>
    </xf>
    <xf numFmtId="0" fontId="120" fillId="0" borderId="0" xfId="0" applyFont="1" applyAlignment="1" applyProtection="1">
      <alignment horizontal="center"/>
      <protection hidden="1"/>
    </xf>
    <xf numFmtId="0" fontId="83" fillId="0" borderId="0" xfId="0" applyFont="1" applyProtection="1">
      <protection hidden="1"/>
    </xf>
    <xf numFmtId="0" fontId="83" fillId="0" borderId="0" xfId="0" applyFont="1" applyAlignment="1" applyProtection="1">
      <alignment vertical="center"/>
      <protection hidden="1"/>
    </xf>
    <xf numFmtId="0" fontId="135" fillId="0" borderId="0" xfId="0" applyFont="1" applyAlignment="1" applyProtection="1">
      <alignment vertical="center"/>
      <protection hidden="1"/>
    </xf>
    <xf numFmtId="0" fontId="83" fillId="0" borderId="0" xfId="0" applyFont="1" applyAlignment="1" applyProtection="1">
      <alignment horizontal="right" vertical="center"/>
      <protection hidden="1"/>
    </xf>
    <xf numFmtId="0" fontId="167" fillId="0" borderId="0" xfId="0" applyFont="1" applyAlignment="1" applyProtection="1">
      <alignment horizontal="right" vertical="center"/>
      <protection hidden="1"/>
    </xf>
    <xf numFmtId="0" fontId="173" fillId="0" borderId="0" xfId="0" applyFont="1" applyProtection="1">
      <protection hidden="1"/>
    </xf>
    <xf numFmtId="0" fontId="174" fillId="0" borderId="0" xfId="0" applyFont="1" applyAlignment="1" applyProtection="1">
      <alignment vertical="center"/>
      <protection hidden="1"/>
    </xf>
    <xf numFmtId="0" fontId="83" fillId="0" borderId="14" xfId="0" applyFont="1" applyBorder="1" applyAlignment="1" applyProtection="1">
      <alignment horizontal="center"/>
      <protection hidden="1"/>
    </xf>
    <xf numFmtId="1" fontId="83" fillId="0" borderId="0" xfId="0" applyNumberFormat="1" applyFont="1" applyAlignment="1" applyProtection="1">
      <alignment horizontal="center"/>
      <protection hidden="1"/>
    </xf>
    <xf numFmtId="0" fontId="83" fillId="0" borderId="0" xfId="0" applyFont="1" applyAlignment="1" applyProtection="1">
      <alignment horizontal="center"/>
      <protection hidden="1"/>
    </xf>
    <xf numFmtId="0" fontId="83" fillId="0" borderId="16" xfId="0" applyFont="1" applyBorder="1" applyProtection="1">
      <protection hidden="1"/>
    </xf>
    <xf numFmtId="1" fontId="83" fillId="0" borderId="16" xfId="0" applyNumberFormat="1" applyFont="1" applyBorder="1" applyAlignment="1" applyProtection="1">
      <alignment horizontal="center"/>
      <protection hidden="1"/>
    </xf>
    <xf numFmtId="0" fontId="83" fillId="0" borderId="16" xfId="0" applyFont="1" applyBorder="1" applyAlignment="1" applyProtection="1">
      <alignment horizontal="center"/>
      <protection hidden="1"/>
    </xf>
    <xf numFmtId="0" fontId="83" fillId="0" borderId="12" xfId="0" applyFont="1" applyBorder="1" applyAlignment="1" applyProtection="1">
      <alignment horizontal="center"/>
      <protection hidden="1"/>
    </xf>
    <xf numFmtId="1" fontId="83" fillId="0" borderId="0" xfId="0" applyNumberFormat="1" applyFont="1" applyProtection="1">
      <protection hidden="1"/>
    </xf>
    <xf numFmtId="0" fontId="83" fillId="0" borderId="0" xfId="0" applyFont="1"/>
    <xf numFmtId="0" fontId="83" fillId="0" borderId="2" xfId="0" applyFont="1" applyBorder="1"/>
    <xf numFmtId="0" fontId="83" fillId="0" borderId="16" xfId="0" applyFont="1" applyBorder="1" applyAlignment="1" applyProtection="1">
      <alignment vertical="center"/>
      <protection hidden="1"/>
    </xf>
    <xf numFmtId="0" fontId="159" fillId="0" borderId="16" xfId="0" applyFont="1" applyBorder="1" applyAlignment="1" applyProtection="1">
      <alignment horizontal="center"/>
      <protection hidden="1"/>
    </xf>
    <xf numFmtId="0" fontId="159" fillId="0" borderId="12" xfId="0" applyFont="1" applyBorder="1" applyAlignment="1" applyProtection="1">
      <alignment horizontal="center"/>
      <protection hidden="1"/>
    </xf>
    <xf numFmtId="1" fontId="159" fillId="0" borderId="16" xfId="0" applyNumberFormat="1" applyFont="1" applyBorder="1" applyAlignment="1" applyProtection="1">
      <alignment horizontal="center"/>
      <protection hidden="1"/>
    </xf>
    <xf numFmtId="0" fontId="83" fillId="0" borderId="11" xfId="0" applyFont="1" applyBorder="1"/>
    <xf numFmtId="1" fontId="159" fillId="0" borderId="0" xfId="0" applyNumberFormat="1" applyFont="1" applyAlignment="1" applyProtection="1">
      <alignment horizontal="center"/>
      <protection hidden="1"/>
    </xf>
    <xf numFmtId="1" fontId="83" fillId="0" borderId="0" xfId="0" applyNumberFormat="1" applyFont="1" applyAlignment="1">
      <alignment horizontal="center"/>
    </xf>
    <xf numFmtId="9" fontId="83" fillId="0" borderId="0" xfId="3" applyFont="1" applyBorder="1" applyAlignment="1" applyProtection="1">
      <alignment horizontal="center"/>
      <protection hidden="1"/>
    </xf>
    <xf numFmtId="0" fontId="120" fillId="0" borderId="0" xfId="0" applyFont="1" applyProtection="1">
      <protection hidden="1"/>
    </xf>
    <xf numFmtId="0" fontId="83" fillId="0" borderId="0" xfId="0" applyFont="1" applyAlignment="1" applyProtection="1">
      <alignment horizontal="right"/>
      <protection hidden="1"/>
    </xf>
    <xf numFmtId="0" fontId="175" fillId="0" borderId="9" xfId="0" applyFont="1" applyBorder="1" applyAlignment="1" applyProtection="1">
      <alignment horizontal="center" vertical="center"/>
      <protection hidden="1"/>
    </xf>
    <xf numFmtId="0" fontId="83" fillId="0" borderId="16" xfId="0" applyFont="1" applyBorder="1" applyAlignment="1" applyProtection="1">
      <alignment horizontal="center" vertical="center"/>
      <protection hidden="1"/>
    </xf>
    <xf numFmtId="0" fontId="159" fillId="0" borderId="0" xfId="0" applyFont="1" applyAlignment="1" applyProtection="1">
      <alignment horizontal="center"/>
      <protection hidden="1"/>
    </xf>
    <xf numFmtId="0" fontId="159" fillId="0" borderId="14" xfId="0" applyFont="1" applyBorder="1" applyAlignment="1" applyProtection="1">
      <alignment horizontal="center"/>
      <protection hidden="1"/>
    </xf>
    <xf numFmtId="9" fontId="83" fillId="0" borderId="2" xfId="3" applyFont="1" applyBorder="1" applyAlignment="1">
      <alignment horizontal="center"/>
    </xf>
    <xf numFmtId="0" fontId="83" fillId="0" borderId="2" xfId="0" applyFont="1" applyBorder="1" applyAlignment="1">
      <alignment horizontal="center"/>
    </xf>
    <xf numFmtId="0" fontId="83" fillId="0" borderId="2" xfId="0" applyFont="1" applyBorder="1" applyAlignment="1" applyProtection="1">
      <alignment horizontal="center"/>
      <protection hidden="1"/>
    </xf>
    <xf numFmtId="0" fontId="83" fillId="0" borderId="11" xfId="0" applyFont="1" applyBorder="1" applyAlignment="1" applyProtection="1">
      <alignment horizontal="center"/>
      <protection hidden="1"/>
    </xf>
    <xf numFmtId="1" fontId="135" fillId="0" borderId="2" xfId="0" applyNumberFormat="1" applyFont="1" applyBorder="1" applyAlignment="1" applyProtection="1">
      <alignment horizontal="center"/>
      <protection hidden="1"/>
    </xf>
    <xf numFmtId="0" fontId="120" fillId="0" borderId="2" xfId="0" applyFont="1" applyBorder="1" applyAlignment="1" applyProtection="1">
      <alignment horizontal="center" vertical="center"/>
      <protection hidden="1"/>
    </xf>
    <xf numFmtId="0" fontId="120" fillId="0" borderId="2" xfId="0" applyFont="1" applyBorder="1" applyAlignment="1" applyProtection="1">
      <alignment horizontal="center"/>
      <protection hidden="1"/>
    </xf>
    <xf numFmtId="0" fontId="120" fillId="0" borderId="11" xfId="0" applyFont="1" applyBorder="1" applyAlignment="1" applyProtection="1">
      <alignment horizontal="center"/>
      <protection hidden="1"/>
    </xf>
    <xf numFmtId="1" fontId="120" fillId="0" borderId="2" xfId="0" applyNumberFormat="1" applyFont="1" applyBorder="1" applyAlignment="1" applyProtection="1">
      <alignment horizontal="center"/>
      <protection hidden="1"/>
    </xf>
    <xf numFmtId="0" fontId="83" fillId="0" borderId="6" xfId="0" applyFont="1" applyBorder="1" applyAlignment="1" applyProtection="1">
      <alignment horizontal="center"/>
      <protection hidden="1"/>
    </xf>
    <xf numFmtId="0" fontId="175" fillId="0" borderId="9" xfId="0" applyFont="1" applyBorder="1" applyAlignment="1" applyProtection="1">
      <alignment horizontal="center"/>
      <protection hidden="1"/>
    </xf>
    <xf numFmtId="0" fontId="175" fillId="0" borderId="8" xfId="0" applyFont="1" applyBorder="1" applyAlignment="1" applyProtection="1">
      <alignment horizontal="center"/>
      <protection hidden="1"/>
    </xf>
    <xf numFmtId="1" fontId="175" fillId="0" borderId="9" xfId="0" applyNumberFormat="1" applyFont="1" applyBorder="1" applyAlignment="1" applyProtection="1">
      <alignment horizontal="center"/>
      <protection hidden="1"/>
    </xf>
    <xf numFmtId="0" fontId="121" fillId="0" borderId="16" xfId="0" applyFont="1" applyBorder="1" applyAlignment="1" applyProtection="1">
      <alignment horizontal="center" vertical="center"/>
      <protection hidden="1"/>
    </xf>
    <xf numFmtId="0" fontId="121" fillId="0" borderId="16" xfId="0" applyFont="1" applyBorder="1" applyAlignment="1" applyProtection="1">
      <alignment horizontal="right"/>
      <protection hidden="1"/>
    </xf>
    <xf numFmtId="0" fontId="121" fillId="0" borderId="12" xfId="0" applyFont="1" applyBorder="1" applyAlignment="1" applyProtection="1">
      <alignment horizontal="right"/>
      <protection hidden="1"/>
    </xf>
    <xf numFmtId="1" fontId="121" fillId="0" borderId="16" xfId="0" applyNumberFormat="1" applyFont="1" applyBorder="1" applyAlignment="1" applyProtection="1">
      <alignment horizontal="right"/>
      <protection hidden="1"/>
    </xf>
    <xf numFmtId="178" fontId="83" fillId="0" borderId="0" xfId="0" applyNumberFormat="1" applyFont="1" applyProtection="1">
      <protection hidden="1"/>
    </xf>
    <xf numFmtId="0" fontId="177" fillId="0" borderId="0" xfId="0" applyFont="1" applyAlignment="1">
      <alignment horizontal="center"/>
    </xf>
    <xf numFmtId="0" fontId="83" fillId="0" borderId="56" xfId="0" applyFont="1" applyBorder="1" applyAlignment="1" applyProtection="1">
      <alignment horizontal="center"/>
      <protection hidden="1"/>
    </xf>
    <xf numFmtId="0" fontId="83" fillId="0" borderId="45" xfId="0" applyFont="1" applyBorder="1" applyAlignment="1" applyProtection="1">
      <alignment horizontal="center"/>
      <protection hidden="1"/>
    </xf>
    <xf numFmtId="1" fontId="83" fillId="0" borderId="56" xfId="0" applyNumberFormat="1" applyFont="1" applyBorder="1" applyAlignment="1" applyProtection="1">
      <alignment horizontal="center"/>
      <protection hidden="1"/>
    </xf>
    <xf numFmtId="0" fontId="170" fillId="0" borderId="0" xfId="0" applyFont="1" applyAlignment="1" applyProtection="1">
      <alignment horizontal="center" vertical="center"/>
      <protection hidden="1"/>
    </xf>
    <xf numFmtId="0" fontId="170" fillId="0" borderId="0" xfId="0" applyFont="1" applyAlignment="1" applyProtection="1">
      <alignment horizontal="right"/>
      <protection hidden="1"/>
    </xf>
    <xf numFmtId="0" fontId="170" fillId="0" borderId="11" xfId="0" applyFont="1" applyBorder="1" applyAlignment="1" applyProtection="1">
      <alignment horizontal="right"/>
      <protection hidden="1"/>
    </xf>
    <xf numFmtId="1" fontId="170" fillId="0" borderId="0" xfId="0" applyNumberFormat="1" applyFont="1" applyAlignment="1" applyProtection="1">
      <alignment horizontal="right"/>
      <protection hidden="1"/>
    </xf>
    <xf numFmtId="0" fontId="83" fillId="0" borderId="1" xfId="0" applyFont="1" applyBorder="1" applyProtection="1">
      <protection hidden="1"/>
    </xf>
    <xf numFmtId="0" fontId="83" fillId="0" borderId="13" xfId="0" applyFont="1" applyBorder="1" applyProtection="1">
      <protection hidden="1"/>
    </xf>
    <xf numFmtId="0" fontId="83" fillId="0" borderId="15" xfId="0" applyFont="1" applyBorder="1" applyProtection="1">
      <protection hidden="1"/>
    </xf>
    <xf numFmtId="0" fontId="83" fillId="0" borderId="2" xfId="0" applyFont="1" applyBorder="1" applyAlignment="1" applyProtection="1">
      <alignment vertical="center"/>
      <protection hidden="1"/>
    </xf>
    <xf numFmtId="1" fontId="83" fillId="0" borderId="2" xfId="0" applyNumberFormat="1" applyFont="1" applyBorder="1" applyProtection="1">
      <protection hidden="1"/>
    </xf>
    <xf numFmtId="0" fontId="159" fillId="0" borderId="0" xfId="0" applyFont="1" applyAlignment="1">
      <alignment horizontal="center"/>
    </xf>
    <xf numFmtId="0" fontId="177" fillId="0" borderId="0" xfId="0" applyFont="1" applyAlignment="1" applyProtection="1">
      <alignment horizontal="center" vertical="center"/>
      <protection hidden="1"/>
    </xf>
    <xf numFmtId="1" fontId="83" fillId="0" borderId="8" xfId="0" applyNumberFormat="1" applyFont="1" applyBorder="1" applyAlignment="1">
      <alignment horizontal="center"/>
    </xf>
    <xf numFmtId="1" fontId="83" fillId="11" borderId="8" xfId="0" applyNumberFormat="1" applyFont="1" applyFill="1" applyBorder="1" applyAlignment="1" applyProtection="1">
      <alignment horizontal="center"/>
      <protection hidden="1"/>
    </xf>
    <xf numFmtId="1" fontId="83" fillId="4" borderId="8" xfId="0" applyNumberFormat="1" applyFont="1" applyFill="1" applyBorder="1" applyAlignment="1" applyProtection="1">
      <alignment horizontal="center"/>
      <protection hidden="1"/>
    </xf>
    <xf numFmtId="1" fontId="83" fillId="0" borderId="4" xfId="0" applyNumberFormat="1" applyFont="1" applyBorder="1" applyAlignment="1" applyProtection="1">
      <alignment horizontal="center"/>
      <protection hidden="1"/>
    </xf>
    <xf numFmtId="1" fontId="83" fillId="0" borderId="5" xfId="0" applyNumberFormat="1" applyFont="1" applyBorder="1" applyAlignment="1" applyProtection="1">
      <alignment horizontal="center"/>
      <protection hidden="1"/>
    </xf>
    <xf numFmtId="1" fontId="159" fillId="0" borderId="17" xfId="0" applyNumberFormat="1" applyFont="1" applyBorder="1" applyAlignment="1" applyProtection="1">
      <alignment horizontal="center"/>
      <protection hidden="1"/>
    </xf>
    <xf numFmtId="1" fontId="83" fillId="0" borderId="4" xfId="0" applyNumberFormat="1" applyFont="1" applyBorder="1" applyAlignment="1">
      <alignment horizontal="center"/>
    </xf>
    <xf numFmtId="1" fontId="159" fillId="0" borderId="5" xfId="0" applyNumberFormat="1" applyFont="1" applyBorder="1" applyAlignment="1" applyProtection="1">
      <alignment horizontal="center"/>
      <protection hidden="1"/>
    </xf>
    <xf numFmtId="1" fontId="83" fillId="0" borderId="47" xfId="0" applyNumberFormat="1" applyFont="1" applyBorder="1" applyAlignment="1" applyProtection="1">
      <alignment horizontal="center"/>
      <protection hidden="1"/>
    </xf>
    <xf numFmtId="1" fontId="135" fillId="13" borderId="4" xfId="0" applyNumberFormat="1" applyFont="1" applyFill="1" applyBorder="1" applyAlignment="1" applyProtection="1">
      <alignment horizontal="center"/>
      <protection hidden="1"/>
    </xf>
    <xf numFmtId="1" fontId="120" fillId="0" borderId="4" xfId="0" applyNumberFormat="1" applyFont="1" applyBorder="1" applyAlignment="1" applyProtection="1">
      <alignment horizontal="center"/>
      <protection hidden="1"/>
    </xf>
    <xf numFmtId="1" fontId="83" fillId="0" borderId="17" xfId="0" applyNumberFormat="1" applyFont="1" applyBorder="1" applyAlignment="1" applyProtection="1">
      <alignment horizontal="center"/>
      <protection hidden="1"/>
    </xf>
    <xf numFmtId="1" fontId="175" fillId="0" borderId="6" xfId="0" applyNumberFormat="1" applyFont="1" applyBorder="1" applyAlignment="1" applyProtection="1">
      <alignment horizontal="center"/>
      <protection hidden="1"/>
    </xf>
    <xf numFmtId="1" fontId="170" fillId="0" borderId="5" xfId="0" applyNumberFormat="1" applyFont="1" applyBorder="1" applyAlignment="1" applyProtection="1">
      <alignment horizontal="right"/>
      <protection hidden="1"/>
    </xf>
    <xf numFmtId="1" fontId="121" fillId="0" borderId="17" xfId="0" applyNumberFormat="1" applyFont="1" applyBorder="1" applyAlignment="1" applyProtection="1">
      <alignment horizontal="right"/>
      <protection hidden="1"/>
    </xf>
    <xf numFmtId="1" fontId="83" fillId="0" borderId="2" xfId="0" applyNumberFormat="1" applyFont="1" applyBorder="1" applyAlignment="1" applyProtection="1">
      <alignment horizontal="center"/>
      <protection hidden="1"/>
    </xf>
    <xf numFmtId="0" fontId="83" fillId="0" borderId="2" xfId="0" applyFont="1" applyBorder="1" applyAlignment="1" applyProtection="1">
      <alignment horizontal="center" vertical="center"/>
      <protection hidden="1"/>
    </xf>
    <xf numFmtId="0" fontId="177" fillId="0" borderId="0" xfId="0" applyFont="1" applyAlignment="1">
      <alignment horizontal="center" vertical="center"/>
    </xf>
    <xf numFmtId="0" fontId="83" fillId="0" borderId="2" xfId="0" applyFont="1" applyBorder="1" applyAlignment="1">
      <alignment horizontal="center" vertical="center"/>
    </xf>
    <xf numFmtId="0" fontId="159" fillId="13" borderId="0" xfId="0" applyFont="1" applyFill="1" applyAlignment="1" applyProtection="1">
      <alignment horizontal="center" vertical="center"/>
      <protection hidden="1"/>
    </xf>
    <xf numFmtId="0" fontId="159" fillId="13" borderId="0" xfId="0" applyFont="1" applyFill="1" applyAlignment="1">
      <alignment horizontal="center" vertical="center"/>
    </xf>
    <xf numFmtId="0" fontId="179" fillId="0" borderId="2" xfId="0" applyFont="1" applyBorder="1" applyAlignment="1" applyProtection="1">
      <alignment horizontal="center"/>
      <protection hidden="1"/>
    </xf>
    <xf numFmtId="0" fontId="83" fillId="13" borderId="7" xfId="0" applyFont="1" applyFill="1" applyBorder="1" applyAlignment="1" applyProtection="1">
      <alignment horizontal="center"/>
      <protection hidden="1"/>
    </xf>
    <xf numFmtId="0" fontId="83" fillId="13" borderId="8" xfId="0" applyFont="1" applyFill="1" applyBorder="1" applyAlignment="1" applyProtection="1">
      <alignment horizontal="center"/>
      <protection hidden="1"/>
    </xf>
    <xf numFmtId="0" fontId="135" fillId="4" borderId="6" xfId="0" applyFont="1" applyFill="1" applyBorder="1" applyAlignment="1" applyProtection="1">
      <alignment horizontal="center" vertical="center"/>
      <protection hidden="1"/>
    </xf>
    <xf numFmtId="0" fontId="176" fillId="4" borderId="11" xfId="0" applyFont="1" applyFill="1" applyBorder="1" applyAlignment="1" applyProtection="1">
      <alignment horizontal="center"/>
      <protection hidden="1"/>
    </xf>
    <xf numFmtId="1" fontId="83" fillId="11" borderId="8" xfId="0" applyNumberFormat="1" applyFont="1" applyFill="1" applyBorder="1" applyAlignment="1">
      <alignment horizontal="center"/>
    </xf>
    <xf numFmtId="0" fontId="173" fillId="0" borderId="0" xfId="0" applyFont="1" applyAlignment="1" applyProtection="1">
      <alignment horizontal="center"/>
      <protection hidden="1"/>
    </xf>
    <xf numFmtId="1" fontId="6" fillId="0" borderId="15" xfId="0" applyNumberFormat="1" applyFont="1" applyBorder="1" applyAlignment="1">
      <alignment horizontal="right" vertical="center"/>
    </xf>
    <xf numFmtId="165" fontId="6" fillId="0" borderId="1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83" fillId="0" borderId="0" xfId="0" applyFont="1" applyAlignment="1">
      <alignment horizontal="center" vertical="center"/>
    </xf>
    <xf numFmtId="0" fontId="180" fillId="0" borderId="0" xfId="0" applyFont="1"/>
    <xf numFmtId="0" fontId="6" fillId="8" borderId="4" xfId="0" applyFont="1" applyFill="1" applyBorder="1" applyAlignment="1">
      <alignment vertical="center"/>
    </xf>
    <xf numFmtId="167" fontId="12" fillId="8" borderId="17" xfId="3" applyNumberFormat="1" applyFont="1" applyFill="1" applyBorder="1" applyAlignment="1" applyProtection="1">
      <alignment horizontal="right" vertical="center"/>
    </xf>
    <xf numFmtId="0" fontId="2" fillId="8" borderId="51" xfId="0" applyFont="1" applyFill="1" applyBorder="1" applyAlignment="1">
      <alignment vertical="center"/>
    </xf>
    <xf numFmtId="0" fontId="18" fillId="8" borderId="116" xfId="0" applyFont="1" applyFill="1" applyBorder="1" applyAlignment="1">
      <alignment vertical="center"/>
    </xf>
    <xf numFmtId="0" fontId="11" fillId="8" borderId="116" xfId="0" applyFont="1" applyFill="1" applyBorder="1"/>
    <xf numFmtId="0" fontId="6" fillId="8" borderId="116" xfId="0" applyFont="1" applyFill="1" applyBorder="1" applyAlignment="1">
      <alignment horizontal="right" vertical="center"/>
    </xf>
    <xf numFmtId="0" fontId="13" fillId="8" borderId="51" xfId="0" applyFont="1" applyFill="1" applyBorder="1" applyAlignment="1">
      <alignment horizontal="centerContinuous" vertical="center"/>
    </xf>
    <xf numFmtId="0" fontId="11" fillId="8" borderId="116" xfId="0" applyFont="1" applyFill="1" applyBorder="1" applyAlignment="1">
      <alignment horizontal="centerContinuous" vertical="center"/>
    </xf>
    <xf numFmtId="0" fontId="13" fillId="8" borderId="161" xfId="0" applyFont="1" applyFill="1" applyBorder="1" applyAlignment="1">
      <alignment horizontal="centerContinuous" vertical="center"/>
    </xf>
    <xf numFmtId="0" fontId="12" fillId="8" borderId="4" xfId="0" applyFont="1" applyFill="1" applyBorder="1" applyAlignment="1">
      <alignment horizontal="left" vertical="center"/>
    </xf>
    <xf numFmtId="1" fontId="12" fillId="8" borderId="17" xfId="0" applyNumberFormat="1" applyFont="1" applyFill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6" fillId="0" borderId="5" xfId="0" applyFont="1" applyBorder="1" applyAlignment="1" applyProtection="1">
      <alignment vertical="center"/>
      <protection hidden="1"/>
    </xf>
    <xf numFmtId="0" fontId="6" fillId="8" borderId="116" xfId="0" applyFont="1" applyFill="1" applyBorder="1" applyAlignment="1">
      <alignment horizontal="centerContinuous" vertical="center"/>
    </xf>
    <xf numFmtId="0" fontId="6" fillId="8" borderId="116" xfId="0" applyFont="1" applyFill="1" applyBorder="1" applyAlignment="1">
      <alignment horizontal="centerContinuous"/>
    </xf>
    <xf numFmtId="0" fontId="6" fillId="8" borderId="161" xfId="0" applyFont="1" applyFill="1" applyBorder="1" applyAlignment="1">
      <alignment horizontal="centerContinuous"/>
    </xf>
    <xf numFmtId="0" fontId="11" fillId="0" borderId="2" xfId="0" applyFont="1" applyBorder="1" applyAlignment="1" applyProtection="1">
      <alignment vertical="center"/>
      <protection hidden="1"/>
    </xf>
    <xf numFmtId="0" fontId="15" fillId="0" borderId="4" xfId="0" applyFont="1" applyBorder="1" applyAlignment="1" applyProtection="1">
      <alignment vertical="center"/>
      <protection hidden="1"/>
    </xf>
    <xf numFmtId="0" fontId="11" fillId="0" borderId="183" xfId="0" applyFont="1" applyBorder="1" applyProtection="1">
      <protection hidden="1"/>
    </xf>
    <xf numFmtId="0" fontId="15" fillId="0" borderId="5" xfId="0" applyFont="1" applyBorder="1" applyProtection="1">
      <protection hidden="1"/>
    </xf>
    <xf numFmtId="0" fontId="13" fillId="0" borderId="13" xfId="0" applyFont="1" applyBorder="1" applyAlignment="1" applyProtection="1">
      <alignment horizontal="center" vertical="center"/>
      <protection hidden="1"/>
    </xf>
    <xf numFmtId="0" fontId="13" fillId="0" borderId="15" xfId="0" applyFont="1" applyBorder="1" applyAlignment="1" applyProtection="1">
      <alignment horizontal="center" vertical="center"/>
      <protection hidden="1"/>
    </xf>
    <xf numFmtId="165" fontId="15" fillId="0" borderId="81" xfId="0" applyNumberFormat="1" applyFont="1" applyBorder="1" applyAlignment="1" applyProtection="1">
      <alignment horizontal="center" vertical="center"/>
      <protection hidden="1"/>
    </xf>
    <xf numFmtId="165" fontId="15" fillId="0" borderId="5" xfId="0" applyNumberFormat="1" applyFont="1" applyBorder="1" applyAlignment="1" applyProtection="1">
      <alignment horizontal="center" vertical="center"/>
      <protection hidden="1"/>
    </xf>
    <xf numFmtId="165" fontId="15" fillId="0" borderId="47" xfId="0" applyNumberFormat="1" applyFont="1" applyBorder="1" applyAlignment="1" applyProtection="1">
      <alignment horizontal="center" vertical="center"/>
      <protection hidden="1"/>
    </xf>
    <xf numFmtId="0" fontId="143" fillId="0" borderId="0" xfId="0" quotePrefix="1" applyFont="1" applyAlignment="1" applyProtection="1">
      <alignment vertical="center"/>
      <protection hidden="1"/>
    </xf>
    <xf numFmtId="0" fontId="181" fillId="0" borderId="117" xfId="0" applyFont="1" applyBorder="1" applyAlignment="1" applyProtection="1">
      <alignment vertical="center"/>
      <protection hidden="1"/>
    </xf>
    <xf numFmtId="2" fontId="180" fillId="0" borderId="149" xfId="0" applyNumberFormat="1" applyFont="1" applyBorder="1" applyAlignment="1" applyProtection="1">
      <alignment vertical="center"/>
      <protection hidden="1"/>
    </xf>
    <xf numFmtId="2" fontId="180" fillId="0" borderId="50" xfId="0" applyNumberFormat="1" applyFont="1" applyBorder="1" applyAlignment="1" applyProtection="1">
      <alignment vertical="center"/>
      <protection hidden="1"/>
    </xf>
    <xf numFmtId="2" fontId="180" fillId="0" borderId="94" xfId="0" applyNumberFormat="1" applyFont="1" applyBorder="1" applyAlignment="1" applyProtection="1">
      <alignment vertical="center"/>
      <protection hidden="1"/>
    </xf>
    <xf numFmtId="2" fontId="180" fillId="0" borderId="33" xfId="0" applyNumberFormat="1" applyFont="1" applyBorder="1" applyAlignment="1" applyProtection="1">
      <alignment vertical="center"/>
      <protection hidden="1"/>
    </xf>
    <xf numFmtId="10" fontId="181" fillId="0" borderId="20" xfId="3" applyNumberFormat="1" applyFont="1" applyBorder="1" applyAlignment="1" applyProtection="1">
      <alignment horizontal="center" vertical="center"/>
      <protection hidden="1"/>
    </xf>
    <xf numFmtId="10" fontId="181" fillId="0" borderId="95" xfId="3" applyNumberFormat="1" applyFont="1" applyBorder="1" applyAlignment="1" applyProtection="1">
      <alignment horizontal="center" vertical="center"/>
      <protection hidden="1"/>
    </xf>
    <xf numFmtId="10" fontId="126" fillId="0" borderId="0" xfId="3" applyNumberFormat="1" applyFont="1" applyBorder="1" applyAlignment="1" applyProtection="1">
      <alignment horizontal="center" vertical="center"/>
      <protection hidden="1"/>
    </xf>
    <xf numFmtId="10" fontId="181" fillId="0" borderId="78" xfId="3" applyNumberFormat="1" applyFont="1" applyBorder="1" applyAlignment="1" applyProtection="1">
      <alignment horizontal="center" vertical="center"/>
      <protection hidden="1"/>
    </xf>
    <xf numFmtId="0" fontId="97" fillId="0" borderId="129" xfId="5" applyFont="1" applyBorder="1" applyAlignment="1">
      <alignment horizontal="center" vertical="center"/>
    </xf>
    <xf numFmtId="0" fontId="145" fillId="0" borderId="0" xfId="5" applyFont="1" applyAlignment="1">
      <alignment horizontal="center" vertical="center"/>
    </xf>
    <xf numFmtId="0" fontId="148" fillId="0" borderId="0" xfId="5" applyFont="1" applyAlignment="1">
      <alignment vertical="center"/>
    </xf>
    <xf numFmtId="0" fontId="73" fillId="0" borderId="0" xfId="5" applyAlignment="1">
      <alignment horizontal="center" vertical="center"/>
    </xf>
    <xf numFmtId="0" fontId="83" fillId="0" borderId="0" xfId="5" applyFont="1" applyAlignment="1">
      <alignment horizontal="right" vertical="center"/>
    </xf>
    <xf numFmtId="0" fontId="95" fillId="13" borderId="0" xfId="4" applyFont="1" applyFill="1"/>
    <xf numFmtId="0" fontId="78" fillId="13" borderId="0" xfId="4" applyFont="1" applyFill="1"/>
    <xf numFmtId="0" fontId="78" fillId="13" borderId="0" xfId="4" applyFont="1" applyFill="1" applyAlignment="1">
      <alignment horizontal="center"/>
    </xf>
    <xf numFmtId="2" fontId="6" fillId="3" borderId="92" xfId="0" applyNumberFormat="1" applyFont="1" applyFill="1" applyBorder="1" applyAlignment="1" applyProtection="1">
      <alignment horizontal="center"/>
      <protection locked="0"/>
    </xf>
    <xf numFmtId="2" fontId="6" fillId="3" borderId="50" xfId="0" applyNumberFormat="1" applyFont="1" applyFill="1" applyBorder="1" applyAlignment="1" applyProtection="1">
      <alignment horizontal="center"/>
      <protection locked="0"/>
    </xf>
    <xf numFmtId="2" fontId="6" fillId="3" borderId="44" xfId="0" applyNumberFormat="1" applyFont="1" applyFill="1" applyBorder="1" applyAlignment="1" applyProtection="1">
      <alignment horizontal="center"/>
      <protection locked="0"/>
    </xf>
    <xf numFmtId="0" fontId="12" fillId="0" borderId="0" xfId="0" applyFont="1" applyAlignment="1">
      <alignment horizontal="right"/>
    </xf>
    <xf numFmtId="1" fontId="18" fillId="0" borderId="105" xfId="0" applyNumberFormat="1" applyFont="1" applyBorder="1" applyAlignment="1">
      <alignment horizontal="left" vertical="center"/>
    </xf>
    <xf numFmtId="0" fontId="16" fillId="0" borderId="0" xfId="0" applyFont="1" applyAlignment="1">
      <alignment vertical="center"/>
    </xf>
    <xf numFmtId="0" fontId="6" fillId="12" borderId="128" xfId="0" applyFont="1" applyFill="1" applyBorder="1" applyAlignment="1" applyProtection="1">
      <alignment horizontal="center"/>
      <protection hidden="1"/>
    </xf>
    <xf numFmtId="0" fontId="6" fillId="0" borderId="0" xfId="0" applyFont="1" applyAlignment="1" applyProtection="1">
      <alignment horizontal="left"/>
      <protection hidden="1"/>
    </xf>
    <xf numFmtId="0" fontId="83" fillId="0" borderId="0" xfId="0" applyFont="1" applyAlignment="1">
      <alignment vertical="center"/>
    </xf>
    <xf numFmtId="173" fontId="6" fillId="0" borderId="4" xfId="0" applyNumberFormat="1" applyFont="1" applyBorder="1" applyAlignment="1">
      <alignment horizontal="centerContinuous"/>
    </xf>
    <xf numFmtId="172" fontId="83" fillId="0" borderId="4" xfId="0" applyNumberFormat="1" applyFont="1" applyBorder="1" applyAlignment="1">
      <alignment vertical="center"/>
    </xf>
    <xf numFmtId="172" fontId="83" fillId="0" borderId="6" xfId="0" applyNumberFormat="1" applyFont="1" applyBorder="1" applyAlignment="1">
      <alignment vertical="center"/>
    </xf>
    <xf numFmtId="0" fontId="123" fillId="0" borderId="0" xfId="0" applyFont="1" applyProtection="1">
      <protection hidden="1"/>
    </xf>
    <xf numFmtId="0" fontId="12" fillId="0" borderId="1" xfId="0" applyFont="1" applyBorder="1" applyAlignment="1" applyProtection="1">
      <alignment horizontal="left" vertical="center"/>
      <protection hidden="1"/>
    </xf>
    <xf numFmtId="0" fontId="5" fillId="0" borderId="11" xfId="0" applyFont="1" applyBorder="1" applyAlignment="1">
      <alignment vertical="center"/>
    </xf>
    <xf numFmtId="49" fontId="11" fillId="0" borderId="13" xfId="0" applyNumberFormat="1" applyFont="1" applyBorder="1" applyProtection="1">
      <protection hidden="1"/>
    </xf>
    <xf numFmtId="49" fontId="12" fillId="0" borderId="13" xfId="0" applyNumberFormat="1" applyFont="1" applyBorder="1" applyAlignment="1" applyProtection="1">
      <alignment vertical="center"/>
      <protection hidden="1"/>
    </xf>
    <xf numFmtId="0" fontId="6" fillId="0" borderId="12" xfId="0" applyFont="1" applyBorder="1" applyAlignment="1" applyProtection="1">
      <alignment vertical="center"/>
      <protection hidden="1"/>
    </xf>
    <xf numFmtId="0" fontId="27" fillId="0" borderId="11" xfId="0" quotePrefix="1" applyFont="1" applyBorder="1" applyAlignment="1" applyProtection="1">
      <alignment vertical="center"/>
      <protection hidden="1"/>
    </xf>
    <xf numFmtId="49" fontId="130" fillId="0" borderId="0" xfId="0" quotePrefix="1" applyNumberFormat="1" applyFont="1" applyAlignment="1" applyProtection="1">
      <alignment horizontal="left" vertical="center"/>
      <protection hidden="1"/>
    </xf>
    <xf numFmtId="0" fontId="174" fillId="0" borderId="4" xfId="0" applyFont="1" applyBorder="1" applyAlignment="1" applyProtection="1">
      <alignment vertical="center"/>
      <protection hidden="1"/>
    </xf>
    <xf numFmtId="0" fontId="30" fillId="0" borderId="0" xfId="0" quotePrefix="1" applyFont="1" applyProtection="1">
      <protection hidden="1"/>
    </xf>
    <xf numFmtId="49" fontId="2" fillId="0" borderId="0" xfId="0" applyNumberFormat="1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49" fontId="11" fillId="0" borderId="0" xfId="0" quotePrefix="1" applyNumberFormat="1" applyFont="1" applyAlignment="1">
      <alignment vertical="center"/>
    </xf>
    <xf numFmtId="0" fontId="18" fillId="0" borderId="0" xfId="0" quotePrefix="1" applyFont="1"/>
    <xf numFmtId="0" fontId="18" fillId="0" borderId="0" xfId="0" applyFont="1"/>
    <xf numFmtId="49" fontId="137" fillId="0" borderId="0" xfId="0" applyNumberFormat="1" applyFont="1" applyAlignment="1">
      <alignment vertical="center"/>
    </xf>
    <xf numFmtId="0" fontId="146" fillId="0" borderId="0" xfId="0" applyFont="1"/>
    <xf numFmtId="49" fontId="146" fillId="0" borderId="0" xfId="0" applyNumberFormat="1" applyFont="1" applyAlignment="1">
      <alignment vertical="center"/>
    </xf>
    <xf numFmtId="49" fontId="18" fillId="0" borderId="0" xfId="0" applyNumberFormat="1" applyFont="1" applyAlignment="1">
      <alignment vertical="center"/>
    </xf>
    <xf numFmtId="0" fontId="196" fillId="0" borderId="0" xfId="0" applyFont="1"/>
    <xf numFmtId="0" fontId="11" fillId="0" borderId="0" xfId="0" quotePrefix="1" applyFont="1"/>
    <xf numFmtId="0" fontId="147" fillId="0" borderId="0" xfId="0" quotePrefix="1" applyFont="1"/>
    <xf numFmtId="49" fontId="6" fillId="0" borderId="0" xfId="0" applyNumberFormat="1" applyFont="1" applyAlignment="1">
      <alignment vertical="center"/>
    </xf>
    <xf numFmtId="49" fontId="13" fillId="0" borderId="0" xfId="0" quotePrefix="1" applyNumberFormat="1" applyFont="1"/>
    <xf numFmtId="49" fontId="2" fillId="0" borderId="0" xfId="0" applyNumberFormat="1" applyFont="1" applyAlignment="1">
      <alignment vertical="center"/>
    </xf>
    <xf numFmtId="0" fontId="193" fillId="0" borderId="0" xfId="0" applyFont="1"/>
    <xf numFmtId="49" fontId="13" fillId="0" borderId="0" xfId="0" applyNumberFormat="1" applyFont="1" applyAlignment="1">
      <alignment vertical="center"/>
    </xf>
    <xf numFmtId="49" fontId="12" fillId="0" borderId="0" xfId="0" applyNumberFormat="1" applyFont="1" applyAlignment="1">
      <alignment vertical="center"/>
    </xf>
    <xf numFmtId="49" fontId="10" fillId="0" borderId="0" xfId="0" applyNumberFormat="1" applyFont="1" applyAlignment="1">
      <alignment horizontal="right" vertical="center"/>
    </xf>
    <xf numFmtId="0" fontId="13" fillId="0" borderId="1" xfId="0" applyFont="1" applyBorder="1" applyAlignment="1" applyProtection="1">
      <alignment vertical="center"/>
      <protection hidden="1"/>
    </xf>
    <xf numFmtId="0" fontId="18" fillId="0" borderId="2" xfId="0" applyFont="1" applyBorder="1" applyAlignment="1" applyProtection="1">
      <alignment vertical="center"/>
      <protection hidden="1"/>
    </xf>
    <xf numFmtId="0" fontId="6" fillId="0" borderId="11" xfId="0" applyFont="1" applyBorder="1" applyAlignment="1" applyProtection="1">
      <alignment vertical="center"/>
      <protection hidden="1"/>
    </xf>
    <xf numFmtId="179" fontId="6" fillId="0" borderId="6" xfId="0" applyNumberFormat="1" applyFont="1" applyBorder="1" applyAlignment="1" applyProtection="1">
      <alignment vertical="center"/>
      <protection hidden="1"/>
    </xf>
    <xf numFmtId="49" fontId="11" fillId="7" borderId="0" xfId="0" quotePrefix="1" applyNumberFormat="1" applyFont="1" applyFill="1" applyProtection="1">
      <protection hidden="1"/>
    </xf>
    <xf numFmtId="49" fontId="11" fillId="7" borderId="0" xfId="0" applyNumberFormat="1" applyFont="1" applyFill="1" applyProtection="1">
      <protection hidden="1"/>
    </xf>
    <xf numFmtId="49" fontId="6" fillId="7" borderId="0" xfId="0" applyNumberFormat="1" applyFont="1" applyFill="1" applyAlignment="1" applyProtection="1">
      <alignment vertical="center"/>
      <protection hidden="1"/>
    </xf>
    <xf numFmtId="0" fontId="6" fillId="7" borderId="0" xfId="0" applyFont="1" applyFill="1" applyAlignment="1" applyProtection="1">
      <alignment vertical="center"/>
      <protection hidden="1"/>
    </xf>
    <xf numFmtId="0" fontId="107" fillId="0" borderId="0" xfId="0" applyFont="1" applyAlignment="1">
      <alignment vertical="center"/>
    </xf>
    <xf numFmtId="1" fontId="198" fillId="0" borderId="0" xfId="0" applyNumberFormat="1" applyFont="1"/>
    <xf numFmtId="1" fontId="199" fillId="0" borderId="0" xfId="0" quotePrefix="1" applyNumberFormat="1" applyFont="1" applyAlignment="1">
      <alignment horizontal="right"/>
    </xf>
    <xf numFmtId="1" fontId="200" fillId="0" borderId="0" xfId="0" applyNumberFormat="1" applyFont="1" applyAlignment="1" applyProtection="1">
      <alignment horizontal="right"/>
      <protection hidden="1"/>
    </xf>
    <xf numFmtId="1" fontId="198" fillId="0" borderId="0" xfId="0" applyNumberFormat="1" applyFont="1" applyProtection="1">
      <protection hidden="1"/>
    </xf>
    <xf numFmtId="1" fontId="117" fillId="0" borderId="0" xfId="0" applyNumberFormat="1" applyFont="1" applyProtection="1">
      <protection hidden="1"/>
    </xf>
    <xf numFmtId="49" fontId="116" fillId="0" borderId="0" xfId="0" quotePrefix="1" applyNumberFormat="1" applyFont="1" applyProtection="1">
      <protection hidden="1"/>
    </xf>
    <xf numFmtId="49" fontId="101" fillId="0" borderId="0" xfId="0" applyNumberFormat="1" applyFont="1" applyAlignment="1" applyProtection="1">
      <alignment vertical="center"/>
      <protection hidden="1"/>
    </xf>
    <xf numFmtId="1" fontId="11" fillId="0" borderId="0" xfId="0" quotePrefix="1" applyNumberFormat="1" applyFont="1" applyAlignment="1" applyProtection="1">
      <alignment vertical="center"/>
      <protection hidden="1"/>
    </xf>
    <xf numFmtId="0" fontId="11" fillId="0" borderId="0" xfId="0" quotePrefix="1" applyFont="1" applyAlignment="1" applyProtection="1">
      <alignment vertical="center"/>
      <protection hidden="1"/>
    </xf>
    <xf numFmtId="0" fontId="13" fillId="0" borderId="0" xfId="0" quotePrefix="1" applyFont="1" applyAlignment="1" applyProtection="1">
      <alignment vertical="center"/>
      <protection hidden="1"/>
    </xf>
    <xf numFmtId="49" fontId="38" fillId="0" borderId="0" xfId="0" applyNumberFormat="1" applyFont="1" applyAlignment="1" applyProtection="1">
      <alignment vertical="center"/>
      <protection hidden="1"/>
    </xf>
    <xf numFmtId="0" fontId="38" fillId="0" borderId="0" xfId="0" applyFont="1" applyAlignment="1" applyProtection="1">
      <alignment vertical="center"/>
      <protection hidden="1"/>
    </xf>
    <xf numFmtId="0" fontId="28" fillId="0" borderId="0" xfId="0" applyFont="1" applyAlignment="1" applyProtection="1">
      <alignment vertical="center"/>
      <protection hidden="1"/>
    </xf>
    <xf numFmtId="0" fontId="29" fillId="0" borderId="0" xfId="0" applyFont="1" applyAlignment="1" applyProtection="1">
      <alignment vertical="center"/>
      <protection hidden="1"/>
    </xf>
    <xf numFmtId="0" fontId="107" fillId="0" borderId="0" xfId="0" applyFont="1" applyAlignment="1" applyProtection="1">
      <alignment vertical="center"/>
      <protection hidden="1"/>
    </xf>
    <xf numFmtId="0" fontId="117" fillId="0" borderId="0" xfId="0" applyFont="1" applyAlignment="1" applyProtection="1">
      <alignment vertical="center"/>
      <protection hidden="1"/>
    </xf>
    <xf numFmtId="49" fontId="50" fillId="0" borderId="0" xfId="0" applyNumberFormat="1" applyFont="1" applyAlignment="1" applyProtection="1">
      <alignment vertical="center"/>
      <protection hidden="1"/>
    </xf>
    <xf numFmtId="49" fontId="53" fillId="0" borderId="0" xfId="0" quotePrefix="1" applyNumberFormat="1" applyFont="1" applyAlignment="1" applyProtection="1">
      <alignment vertical="center"/>
      <protection hidden="1"/>
    </xf>
    <xf numFmtId="0" fontId="11" fillId="0" borderId="0" xfId="0" applyFont="1" applyAlignment="1">
      <alignment horizontal="center"/>
    </xf>
    <xf numFmtId="0" fontId="97" fillId="0" borderId="7" xfId="0" applyFont="1" applyBorder="1"/>
    <xf numFmtId="0" fontId="11" fillId="0" borderId="8" xfId="0" applyFont="1" applyBorder="1" applyAlignment="1">
      <alignment horizontal="center"/>
    </xf>
    <xf numFmtId="0" fontId="120" fillId="0" borderId="0" xfId="5" applyFont="1"/>
    <xf numFmtId="0" fontId="11" fillId="0" borderId="7" xfId="0" applyFont="1" applyBorder="1" applyAlignment="1" applyProtection="1">
      <alignment horizontal="center" vertical="center"/>
      <protection hidden="1"/>
    </xf>
    <xf numFmtId="0" fontId="11" fillId="0" borderId="9" xfId="0" applyFont="1" applyBorder="1" applyAlignment="1" applyProtection="1">
      <alignment horizontal="center" vertical="center"/>
      <protection hidden="1"/>
    </xf>
    <xf numFmtId="0" fontId="12" fillId="0" borderId="185" xfId="0" applyFont="1" applyBorder="1" applyAlignment="1">
      <alignment horizontal="center"/>
    </xf>
    <xf numFmtId="0" fontId="12" fillId="0" borderId="49" xfId="0" applyFont="1" applyBorder="1" applyAlignment="1">
      <alignment horizontal="center" vertical="center"/>
    </xf>
    <xf numFmtId="0" fontId="83" fillId="0" borderId="9" xfId="0" applyFont="1" applyBorder="1" applyAlignment="1" applyProtection="1">
      <alignment vertical="center"/>
      <protection hidden="1"/>
    </xf>
    <xf numFmtId="9" fontId="6" fillId="3" borderId="0" xfId="3" applyFont="1" applyFill="1" applyBorder="1" applyAlignment="1" applyProtection="1">
      <alignment horizontal="center" vertical="center"/>
      <protection locked="0"/>
    </xf>
    <xf numFmtId="0" fontId="11" fillId="16" borderId="6" xfId="0" applyFont="1" applyFill="1" applyBorder="1" applyAlignment="1" applyProtection="1">
      <alignment vertical="center"/>
      <protection hidden="1"/>
    </xf>
    <xf numFmtId="0" fontId="11" fillId="16" borderId="5" xfId="0" applyFont="1" applyFill="1" applyBorder="1"/>
    <xf numFmtId="0" fontId="12" fillId="0" borderId="106" xfId="0" applyFont="1" applyBorder="1" applyAlignment="1">
      <alignment vertical="center"/>
    </xf>
    <xf numFmtId="0" fontId="72" fillId="0" borderId="183" xfId="0" applyFont="1" applyBorder="1" applyAlignment="1">
      <alignment vertical="center"/>
    </xf>
    <xf numFmtId="0" fontId="12" fillId="0" borderId="186" xfId="0" applyFont="1" applyBorder="1" applyAlignment="1">
      <alignment horizontal="center" vertical="center"/>
    </xf>
    <xf numFmtId="0" fontId="12" fillId="0" borderId="183" xfId="0" applyFont="1" applyBorder="1" applyAlignment="1">
      <alignment horizontal="center" vertical="center"/>
    </xf>
    <xf numFmtId="0" fontId="60" fillId="0" borderId="7" xfId="0" applyFont="1" applyBorder="1" applyAlignment="1">
      <alignment horizontal="center" vertical="center"/>
    </xf>
    <xf numFmtId="0" fontId="6" fillId="0" borderId="6" xfId="0" applyFont="1" applyBorder="1" applyAlignment="1" applyProtection="1">
      <alignment horizontal="center" vertical="center"/>
      <protection locked="0"/>
    </xf>
    <xf numFmtId="1" fontId="6" fillId="3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187" xfId="0" applyFont="1" applyBorder="1" applyAlignment="1">
      <alignment vertical="center"/>
    </xf>
    <xf numFmtId="0" fontId="6" fillId="17" borderId="4" xfId="0" applyFont="1" applyFill="1" applyBorder="1" applyAlignment="1" applyProtection="1">
      <alignment vertical="center"/>
      <protection hidden="1"/>
    </xf>
    <xf numFmtId="0" fontId="6" fillId="0" borderId="13" xfId="0" applyFont="1" applyBorder="1" applyAlignment="1" applyProtection="1">
      <alignment vertical="center"/>
      <protection hidden="1"/>
    </xf>
    <xf numFmtId="1" fontId="6" fillId="0" borderId="6" xfId="0" applyNumberFormat="1" applyFont="1" applyBorder="1" applyAlignment="1">
      <alignment horizontal="center" vertical="center"/>
    </xf>
    <xf numFmtId="0" fontId="15" fillId="0" borderId="0" xfId="0" applyFont="1" applyAlignment="1" applyProtection="1">
      <alignment horizontal="center" vertical="center"/>
      <protection hidden="1"/>
    </xf>
    <xf numFmtId="0" fontId="15" fillId="12" borderId="0" xfId="0" applyFont="1" applyFill="1" applyAlignment="1" applyProtection="1">
      <alignment vertical="center"/>
      <protection locked="0"/>
    </xf>
    <xf numFmtId="0" fontId="2" fillId="7" borderId="1" xfId="0" applyFont="1" applyFill="1" applyBorder="1" applyAlignment="1">
      <alignment horizontal="centerContinuous"/>
    </xf>
    <xf numFmtId="0" fontId="6" fillId="7" borderId="15" xfId="0" applyFont="1" applyFill="1" applyBorder="1" applyAlignment="1">
      <alignment horizontal="centerContinuous"/>
    </xf>
    <xf numFmtId="0" fontId="12" fillId="7" borderId="9" xfId="0" applyFont="1" applyFill="1" applyBorder="1" applyAlignment="1">
      <alignment horizontal="center" vertical="center"/>
    </xf>
    <xf numFmtId="1" fontId="12" fillId="7" borderId="133" xfId="0" applyNumberFormat="1" applyFont="1" applyFill="1" applyBorder="1" applyAlignment="1" applyProtection="1">
      <alignment vertical="center"/>
      <protection hidden="1"/>
    </xf>
    <xf numFmtId="1" fontId="12" fillId="7" borderId="176" xfId="0" applyNumberFormat="1" applyFont="1" applyFill="1" applyBorder="1" applyAlignment="1" applyProtection="1">
      <alignment vertical="center"/>
      <protection hidden="1"/>
    </xf>
    <xf numFmtId="0" fontId="12" fillId="5" borderId="9" xfId="0" applyFont="1" applyFill="1" applyBorder="1" applyAlignment="1">
      <alignment horizontal="center" vertical="center"/>
    </xf>
    <xf numFmtId="1" fontId="12" fillId="0" borderId="9" xfId="0" applyNumberFormat="1" applyFont="1" applyBorder="1" applyAlignment="1">
      <alignment horizontal="center" vertical="center"/>
    </xf>
    <xf numFmtId="0" fontId="12" fillId="0" borderId="57" xfId="0" applyFont="1" applyBorder="1" applyAlignment="1">
      <alignment horizontal="center" vertical="center"/>
    </xf>
    <xf numFmtId="0" fontId="6" fillId="3" borderId="129" xfId="0" quotePrefix="1" applyFont="1" applyFill="1" applyBorder="1" applyAlignment="1" applyProtection="1">
      <alignment horizontal="right"/>
      <protection locked="0"/>
    </xf>
    <xf numFmtId="0" fontId="6" fillId="3" borderId="129" xfId="0" applyFont="1" applyFill="1" applyBorder="1" applyAlignment="1" applyProtection="1">
      <alignment vertical="center"/>
      <protection locked="0"/>
    </xf>
    <xf numFmtId="0" fontId="12" fillId="7" borderId="188" xfId="0" applyFont="1" applyFill="1" applyBorder="1" applyAlignment="1">
      <alignment horizontal="center" vertical="center"/>
    </xf>
    <xf numFmtId="1" fontId="6" fillId="7" borderId="8" xfId="0" applyNumberFormat="1" applyFont="1" applyFill="1" applyBorder="1" applyAlignment="1" applyProtection="1">
      <alignment vertical="center"/>
      <protection hidden="1"/>
    </xf>
    <xf numFmtId="1" fontId="6" fillId="0" borderId="189" xfId="0" applyNumberFormat="1" applyFont="1" applyBorder="1" applyAlignment="1" applyProtection="1">
      <alignment vertical="center"/>
      <protection hidden="1"/>
    </xf>
    <xf numFmtId="1" fontId="6" fillId="0" borderId="79" xfId="0" applyNumberFormat="1" applyFont="1" applyBorder="1" applyAlignment="1" applyProtection="1">
      <alignment vertical="center"/>
      <protection hidden="1"/>
    </xf>
    <xf numFmtId="0" fontId="30" fillId="7" borderId="90" xfId="0" applyFont="1" applyFill="1" applyBorder="1" applyAlignment="1">
      <alignment horizontal="centerContinuous"/>
    </xf>
    <xf numFmtId="0" fontId="30" fillId="7" borderId="28" xfId="0" applyFont="1" applyFill="1" applyBorder="1" applyAlignment="1">
      <alignment horizontal="centerContinuous"/>
    </xf>
    <xf numFmtId="0" fontId="30" fillId="7" borderId="26" xfId="0" applyFont="1" applyFill="1" applyBorder="1" applyAlignment="1">
      <alignment horizontal="centerContinuous"/>
    </xf>
    <xf numFmtId="0" fontId="32" fillId="7" borderId="131" xfId="0" applyFont="1" applyFill="1" applyBorder="1" applyAlignment="1">
      <alignment horizontal="centerContinuous"/>
    </xf>
    <xf numFmtId="0" fontId="30" fillId="7" borderId="69" xfId="0" applyFont="1" applyFill="1" applyBorder="1" applyAlignment="1">
      <alignment horizontal="centerContinuous"/>
    </xf>
    <xf numFmtId="0" fontId="227" fillId="7" borderId="190" xfId="0" applyFont="1" applyFill="1" applyBorder="1" applyAlignment="1">
      <alignment horizontal="centerContinuous"/>
    </xf>
    <xf numFmtId="0" fontId="227" fillId="7" borderId="191" xfId="0" applyFont="1" applyFill="1" applyBorder="1" applyAlignment="1">
      <alignment horizontal="centerContinuous"/>
    </xf>
    <xf numFmtId="0" fontId="32" fillId="3" borderId="6" xfId="0" applyFont="1" applyFill="1" applyBorder="1" applyAlignment="1" applyProtection="1">
      <alignment horizontal="center"/>
      <protection locked="0"/>
    </xf>
    <xf numFmtId="0" fontId="29" fillId="3" borderId="6" xfId="0" applyFont="1" applyFill="1" applyBorder="1" applyAlignment="1" applyProtection="1">
      <alignment horizontal="center"/>
      <protection locked="0"/>
    </xf>
    <xf numFmtId="0" fontId="36" fillId="3" borderId="6" xfId="0" applyFont="1" applyFill="1" applyBorder="1" applyAlignment="1" applyProtection="1">
      <alignment horizontal="center"/>
      <protection locked="0"/>
    </xf>
    <xf numFmtId="0" fontId="63" fillId="3" borderId="6" xfId="0" applyFont="1" applyFill="1" applyBorder="1" applyAlignment="1" applyProtection="1">
      <alignment horizontal="center"/>
      <protection locked="0" hidden="1"/>
    </xf>
    <xf numFmtId="0" fontId="36" fillId="3" borderId="6" xfId="0" applyFont="1" applyFill="1" applyBorder="1" applyAlignment="1" applyProtection="1">
      <alignment horizontal="center"/>
      <protection locked="0" hidden="1"/>
    </xf>
    <xf numFmtId="0" fontId="63" fillId="3" borderId="110" xfId="0" applyFont="1" applyFill="1" applyBorder="1" applyAlignment="1" applyProtection="1">
      <alignment horizontal="center"/>
      <protection locked="0" hidden="1"/>
    </xf>
    <xf numFmtId="0" fontId="36" fillId="3" borderId="110" xfId="0" applyFont="1" applyFill="1" applyBorder="1" applyAlignment="1" applyProtection="1">
      <alignment horizontal="center"/>
      <protection locked="0" hidden="1"/>
    </xf>
    <xf numFmtId="0" fontId="2" fillId="7" borderId="11" xfId="0" applyFont="1" applyFill="1" applyBorder="1" applyAlignment="1">
      <alignment horizontal="center" vertical="center"/>
    </xf>
    <xf numFmtId="170" fontId="2" fillId="7" borderId="6" xfId="0" applyNumberFormat="1" applyFont="1" applyFill="1" applyBorder="1" applyAlignment="1" applyProtection="1">
      <alignment horizontal="center" vertical="center"/>
      <protection hidden="1"/>
    </xf>
    <xf numFmtId="170" fontId="2" fillId="7" borderId="66" xfId="0" applyNumberFormat="1" applyFont="1" applyFill="1" applyBorder="1" applyAlignment="1" applyProtection="1">
      <alignment horizontal="center" vertical="center"/>
      <protection hidden="1"/>
    </xf>
    <xf numFmtId="170" fontId="2" fillId="7" borderId="126" xfId="0" applyNumberFormat="1" applyFont="1" applyFill="1" applyBorder="1" applyAlignment="1" applyProtection="1">
      <alignment horizontal="center" vertical="center"/>
      <protection hidden="1"/>
    </xf>
    <xf numFmtId="0" fontId="11" fillId="0" borderId="192" xfId="0" applyFont="1" applyBorder="1" applyAlignment="1">
      <alignment horizontal="centerContinuous"/>
    </xf>
    <xf numFmtId="0" fontId="11" fillId="0" borderId="193" xfId="0" applyFont="1" applyBorder="1" applyAlignment="1">
      <alignment horizontal="centerContinuous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2" fillId="0" borderId="198" xfId="0" applyFont="1" applyBorder="1" applyAlignment="1">
      <alignment horizontal="left" vertical="center"/>
    </xf>
    <xf numFmtId="0" fontId="2" fillId="0" borderId="199" xfId="0" applyFont="1" applyBorder="1" applyAlignment="1">
      <alignment horizontal="center" vertical="center"/>
    </xf>
    <xf numFmtId="0" fontId="2" fillId="0" borderId="194" xfId="0" applyFont="1" applyBorder="1" applyAlignment="1">
      <alignment horizontal="centerContinuous" vertical="center"/>
    </xf>
    <xf numFmtId="0" fontId="11" fillId="0" borderId="200" xfId="0" applyFont="1" applyBorder="1" applyAlignment="1">
      <alignment horizontal="left"/>
    </xf>
    <xf numFmtId="0" fontId="6" fillId="0" borderId="201" xfId="0" applyFont="1" applyBorder="1" applyAlignment="1">
      <alignment horizontal="center"/>
    </xf>
    <xf numFmtId="0" fontId="6" fillId="0" borderId="202" xfId="0" applyFont="1" applyBorder="1" applyAlignment="1">
      <alignment horizontal="center" vertical="center"/>
    </xf>
    <xf numFmtId="166" fontId="4" fillId="0" borderId="202" xfId="0" applyNumberFormat="1" applyFont="1" applyBorder="1" applyAlignment="1" applyProtection="1">
      <alignment horizontal="left" vertical="center"/>
      <protection hidden="1"/>
    </xf>
    <xf numFmtId="2" fontId="4" fillId="0" borderId="202" xfId="0" applyNumberFormat="1" applyFont="1" applyBorder="1" applyAlignment="1" applyProtection="1">
      <alignment horizontal="left" vertical="center"/>
      <protection hidden="1"/>
    </xf>
    <xf numFmtId="2" fontId="4" fillId="0" borderId="203" xfId="0" applyNumberFormat="1" applyFont="1" applyBorder="1" applyAlignment="1" applyProtection="1">
      <alignment horizontal="left" vertical="center"/>
      <protection hidden="1"/>
    </xf>
    <xf numFmtId="0" fontId="228" fillId="0" borderId="0" xfId="0" applyFont="1" applyAlignment="1" applyProtection="1">
      <alignment vertical="center"/>
      <protection hidden="1"/>
    </xf>
    <xf numFmtId="0" fontId="229" fillId="0" borderId="0" xfId="0" applyFont="1" applyAlignment="1" applyProtection="1">
      <alignment vertical="center"/>
      <protection hidden="1"/>
    </xf>
    <xf numFmtId="0" fontId="11" fillId="0" borderId="7" xfId="0" applyFont="1" applyBorder="1"/>
    <xf numFmtId="0" fontId="11" fillId="0" borderId="8" xfId="0" applyFont="1" applyBorder="1"/>
    <xf numFmtId="0" fontId="11" fillId="7" borderId="9" xfId="0" applyFont="1" applyFill="1" applyBorder="1"/>
    <xf numFmtId="0" fontId="11" fillId="7" borderId="8" xfId="0" applyFont="1" applyFill="1" applyBorder="1"/>
    <xf numFmtId="0" fontId="11" fillId="7" borderId="7" xfId="0" applyFont="1" applyFill="1" applyBorder="1"/>
    <xf numFmtId="0" fontId="11" fillId="7" borderId="0" xfId="0" quotePrefix="1" applyFont="1" applyFill="1"/>
    <xf numFmtId="0" fontId="12" fillId="0" borderId="7" xfId="0" applyFont="1" applyBorder="1" applyAlignment="1" applyProtection="1">
      <alignment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9" xfId="0" applyFont="1" applyBorder="1" applyAlignment="1" applyProtection="1">
      <alignment horizontal="center" vertical="center"/>
      <protection hidden="1"/>
    </xf>
    <xf numFmtId="0" fontId="83" fillId="0" borderId="4" xfId="0" applyFont="1" applyBorder="1" applyAlignment="1" applyProtection="1">
      <alignment vertical="center"/>
      <protection hidden="1"/>
    </xf>
    <xf numFmtId="0" fontId="83" fillId="0" borderId="6" xfId="0" applyFont="1" applyBorder="1" applyAlignment="1" applyProtection="1">
      <alignment horizontal="center" vertical="center"/>
      <protection hidden="1"/>
    </xf>
    <xf numFmtId="0" fontId="83" fillId="0" borderId="5" xfId="0" applyFont="1" applyBorder="1" applyAlignment="1" applyProtection="1">
      <alignment vertical="center"/>
      <protection hidden="1"/>
    </xf>
    <xf numFmtId="0" fontId="83" fillId="0" borderId="47" xfId="0" applyFont="1" applyBorder="1" applyAlignment="1" applyProtection="1">
      <alignment vertical="center"/>
      <protection hidden="1"/>
    </xf>
    <xf numFmtId="0" fontId="135" fillId="18" borderId="4" xfId="0" applyFont="1" applyFill="1" applyBorder="1" applyAlignment="1" applyProtection="1">
      <alignment vertical="center"/>
      <protection hidden="1"/>
    </xf>
    <xf numFmtId="0" fontId="12" fillId="18" borderId="5" xfId="0" applyFont="1" applyFill="1" applyBorder="1" applyAlignment="1" applyProtection="1">
      <alignment vertical="center"/>
      <protection hidden="1"/>
    </xf>
    <xf numFmtId="0" fontId="135" fillId="18" borderId="5" xfId="0" applyFont="1" applyFill="1" applyBorder="1" applyAlignment="1" applyProtection="1">
      <alignment vertical="center"/>
      <protection hidden="1"/>
    </xf>
    <xf numFmtId="0" fontId="135" fillId="18" borderId="47" xfId="0" applyFont="1" applyFill="1" applyBorder="1" applyAlignment="1" applyProtection="1">
      <alignment vertical="center"/>
      <protection hidden="1"/>
    </xf>
    <xf numFmtId="0" fontId="135" fillId="14" borderId="4" xfId="0" applyFont="1" applyFill="1" applyBorder="1" applyAlignment="1" applyProtection="1">
      <alignment vertical="center"/>
      <protection hidden="1"/>
    </xf>
    <xf numFmtId="0" fontId="12" fillId="14" borderId="5" xfId="0" applyFont="1" applyFill="1" applyBorder="1" applyAlignment="1" applyProtection="1">
      <alignment vertical="center"/>
      <protection hidden="1"/>
    </xf>
    <xf numFmtId="0" fontId="135" fillId="14" borderId="5" xfId="0" applyFont="1" applyFill="1" applyBorder="1" applyAlignment="1" applyProtection="1">
      <alignment vertical="center"/>
      <protection hidden="1"/>
    </xf>
    <xf numFmtId="0" fontId="135" fillId="14" borderId="47" xfId="0" applyFont="1" applyFill="1" applyBorder="1" applyAlignment="1" applyProtection="1">
      <alignment vertical="center"/>
      <protection hidden="1"/>
    </xf>
    <xf numFmtId="0" fontId="83" fillId="0" borderId="1" xfId="0" applyFont="1" applyBorder="1" applyAlignment="1" applyProtection="1">
      <alignment vertical="center"/>
      <protection hidden="1"/>
    </xf>
    <xf numFmtId="0" fontId="83" fillId="0" borderId="7" xfId="0" applyFont="1" applyBorder="1" applyAlignment="1" applyProtection="1">
      <alignment horizontal="center" vertical="center"/>
      <protection hidden="1"/>
    </xf>
    <xf numFmtId="0" fontId="83" fillId="0" borderId="13" xfId="0" applyFont="1" applyBorder="1" applyAlignment="1" applyProtection="1">
      <alignment vertical="center"/>
      <protection hidden="1"/>
    </xf>
    <xf numFmtId="0" fontId="83" fillId="0" borderId="43" xfId="0" applyFont="1" applyBorder="1" applyAlignment="1" applyProtection="1">
      <alignment vertical="center"/>
      <protection hidden="1"/>
    </xf>
    <xf numFmtId="0" fontId="135" fillId="18" borderId="6" xfId="0" quotePrefix="1" applyFont="1" applyFill="1" applyBorder="1" applyAlignment="1" applyProtection="1">
      <alignment horizontal="center" vertical="center"/>
      <protection hidden="1"/>
    </xf>
    <xf numFmtId="0" fontId="135" fillId="14" borderId="6" xfId="0" quotePrefix="1" applyFont="1" applyFill="1" applyBorder="1" applyAlignment="1" applyProtection="1">
      <alignment horizontal="center" vertical="center"/>
      <protection hidden="1"/>
    </xf>
    <xf numFmtId="0" fontId="83" fillId="13" borderId="0" xfId="0" applyFont="1" applyFill="1" applyAlignment="1" applyProtection="1">
      <alignment vertical="center"/>
      <protection hidden="1"/>
    </xf>
    <xf numFmtId="0" fontId="83" fillId="13" borderId="0" xfId="0" applyFont="1" applyFill="1"/>
    <xf numFmtId="0" fontId="83" fillId="0" borderId="204" xfId="0" applyFont="1" applyBorder="1" applyAlignment="1" applyProtection="1">
      <alignment vertical="center"/>
      <protection hidden="1"/>
    </xf>
    <xf numFmtId="9" fontId="11" fillId="0" borderId="0" xfId="3" applyFont="1" applyAlignment="1">
      <alignment horizontal="center"/>
    </xf>
    <xf numFmtId="9" fontId="11" fillId="0" borderId="11" xfId="3" applyFont="1" applyBorder="1" applyAlignment="1">
      <alignment horizontal="center"/>
    </xf>
    <xf numFmtId="9" fontId="11" fillId="0" borderId="14" xfId="3" applyFont="1" applyBorder="1" applyAlignment="1">
      <alignment horizontal="center"/>
    </xf>
    <xf numFmtId="9" fontId="83" fillId="0" borderId="0" xfId="3" applyFont="1" applyAlignment="1">
      <alignment horizontal="center"/>
    </xf>
    <xf numFmtId="9" fontId="83" fillId="0" borderId="0" xfId="3" applyFont="1" applyAlignment="1" applyProtection="1">
      <alignment horizontal="center" vertical="center"/>
      <protection hidden="1"/>
    </xf>
    <xf numFmtId="0" fontId="83" fillId="0" borderId="14" xfId="0" applyFont="1" applyBorder="1" applyAlignment="1" applyProtection="1">
      <alignment vertical="center"/>
      <protection hidden="1"/>
    </xf>
    <xf numFmtId="0" fontId="6" fillId="0" borderId="2" xfId="0" applyFont="1" applyBorder="1" applyAlignment="1" applyProtection="1">
      <alignment horizontal="center" vertical="center"/>
      <protection hidden="1"/>
    </xf>
    <xf numFmtId="0" fontId="6" fillId="0" borderId="12" xfId="0" applyFont="1" applyBorder="1" applyAlignment="1" applyProtection="1">
      <alignment horizontal="center" vertical="center"/>
      <protection hidden="1"/>
    </xf>
    <xf numFmtId="0" fontId="6" fillId="16" borderId="0" xfId="0" applyFont="1" applyFill="1" applyAlignment="1" applyProtection="1">
      <alignment vertical="center"/>
      <protection hidden="1"/>
    </xf>
    <xf numFmtId="0" fontId="230" fillId="0" borderId="0" xfId="0" applyFont="1" applyProtection="1">
      <protection hidden="1"/>
    </xf>
    <xf numFmtId="0" fontId="231" fillId="0" borderId="16" xfId="0" applyFont="1" applyBorder="1" applyAlignment="1" applyProtection="1">
      <alignment horizontal="center" vertical="center"/>
      <protection hidden="1"/>
    </xf>
    <xf numFmtId="0" fontId="11" fillId="19" borderId="116" xfId="0" applyFont="1" applyFill="1" applyBorder="1" applyAlignment="1" applyProtection="1">
      <alignment horizontal="left" vertical="center"/>
      <protection hidden="1"/>
    </xf>
    <xf numFmtId="0" fontId="13" fillId="19" borderId="163" xfId="0" applyFont="1" applyFill="1" applyBorder="1" applyAlignment="1" applyProtection="1">
      <alignment horizontal="left" vertical="center"/>
      <protection hidden="1"/>
    </xf>
    <xf numFmtId="0" fontId="11" fillId="19" borderId="116" xfId="0" applyFont="1" applyFill="1" applyBorder="1" applyAlignment="1" applyProtection="1">
      <alignment horizontal="center" vertical="center"/>
      <protection hidden="1"/>
    </xf>
    <xf numFmtId="0" fontId="11" fillId="0" borderId="14" xfId="0" applyFont="1" applyBorder="1" applyAlignment="1" applyProtection="1">
      <alignment horizontal="center" vertical="center"/>
      <protection hidden="1"/>
    </xf>
    <xf numFmtId="166" fontId="11" fillId="0" borderId="0" xfId="0" applyNumberFormat="1" applyFont="1" applyAlignment="1" applyProtection="1">
      <alignment horizontal="center" vertical="center"/>
      <protection hidden="1"/>
    </xf>
    <xf numFmtId="166" fontId="11" fillId="0" borderId="14" xfId="0" applyNumberFormat="1" applyFont="1" applyBorder="1" applyAlignment="1" applyProtection="1">
      <alignment horizontal="center" vertical="center"/>
      <protection hidden="1"/>
    </xf>
    <xf numFmtId="165" fontId="11" fillId="0" borderId="0" xfId="0" applyNumberFormat="1" applyFont="1" applyAlignment="1" applyProtection="1">
      <alignment horizontal="center" vertical="center"/>
      <protection hidden="1"/>
    </xf>
    <xf numFmtId="0" fontId="232" fillId="0" borderId="0" xfId="0" applyFont="1" applyAlignment="1" applyProtection="1">
      <alignment vertical="center"/>
      <protection hidden="1"/>
    </xf>
    <xf numFmtId="166" fontId="6" fillId="0" borderId="0" xfId="0" applyNumberFormat="1" applyFont="1" applyAlignment="1" applyProtection="1">
      <alignment vertical="center"/>
      <protection hidden="1"/>
    </xf>
    <xf numFmtId="0" fontId="12" fillId="0" borderId="33" xfId="0" applyFont="1" applyBorder="1" applyAlignment="1">
      <alignment horizontal="center" vertical="center"/>
    </xf>
    <xf numFmtId="0" fontId="12" fillId="0" borderId="95" xfId="0" applyFont="1" applyBorder="1" applyAlignment="1">
      <alignment horizontal="center" vertical="center"/>
    </xf>
    <xf numFmtId="0" fontId="6" fillId="0" borderId="49" xfId="0" applyFont="1" applyBorder="1" applyAlignment="1">
      <alignment vertical="center"/>
    </xf>
    <xf numFmtId="0" fontId="6" fillId="0" borderId="205" xfId="0" applyFont="1" applyBorder="1" applyAlignment="1">
      <alignment vertical="center"/>
    </xf>
    <xf numFmtId="49" fontId="13" fillId="16" borderId="27" xfId="0" applyNumberFormat="1" applyFont="1" applyFill="1" applyBorder="1" applyAlignment="1" applyProtection="1">
      <alignment vertical="center"/>
      <protection hidden="1"/>
    </xf>
    <xf numFmtId="49" fontId="6" fillId="16" borderId="18" xfId="0" applyNumberFormat="1" applyFont="1" applyFill="1" applyBorder="1" applyAlignment="1" applyProtection="1">
      <alignment vertical="center"/>
      <protection hidden="1"/>
    </xf>
    <xf numFmtId="0" fontId="6" fillId="16" borderId="18" xfId="0" applyFont="1" applyFill="1" applyBorder="1" applyProtection="1">
      <protection hidden="1"/>
    </xf>
    <xf numFmtId="0" fontId="6" fillId="16" borderId="25" xfId="0" applyFont="1" applyFill="1" applyBorder="1" applyProtection="1">
      <protection hidden="1"/>
    </xf>
    <xf numFmtId="49" fontId="6" fillId="0" borderId="18" xfId="0" applyNumberFormat="1" applyFont="1" applyBorder="1" applyAlignment="1" applyProtection="1">
      <alignment vertical="center"/>
      <protection hidden="1"/>
    </xf>
    <xf numFmtId="0" fontId="12" fillId="3" borderId="6" xfId="0" applyFont="1" applyFill="1" applyBorder="1" applyAlignment="1">
      <alignment vertical="center"/>
    </xf>
    <xf numFmtId="0" fontId="12" fillId="12" borderId="6" xfId="0" applyFont="1" applyFill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28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28" fillId="7" borderId="0" xfId="0" applyFont="1" applyFill="1" applyProtection="1">
      <protection hidden="1"/>
    </xf>
    <xf numFmtId="0" fontId="28" fillId="7" borderId="0" xfId="0" applyFont="1" applyFill="1" applyAlignment="1" applyProtection="1">
      <alignment vertical="center"/>
      <protection hidden="1"/>
    </xf>
    <xf numFmtId="0" fontId="28" fillId="7" borderId="0" xfId="0" applyFont="1" applyFill="1" applyAlignment="1" applyProtection="1">
      <alignment horizontal="right" vertical="center"/>
      <protection hidden="1"/>
    </xf>
    <xf numFmtId="0" fontId="83" fillId="7" borderId="0" xfId="0" applyFont="1" applyFill="1" applyProtection="1">
      <protection hidden="1"/>
    </xf>
    <xf numFmtId="0" fontId="83" fillId="7" borderId="0" xfId="0" applyFont="1" applyFill="1" applyAlignment="1" applyProtection="1">
      <alignment vertical="center"/>
      <protection hidden="1"/>
    </xf>
    <xf numFmtId="0" fontId="83" fillId="7" borderId="0" xfId="0" applyFont="1" applyFill="1" applyAlignment="1" applyProtection="1">
      <alignment horizontal="center"/>
      <protection hidden="1"/>
    </xf>
    <xf numFmtId="1" fontId="83" fillId="7" borderId="0" xfId="0" applyNumberFormat="1" applyFont="1" applyFill="1" applyAlignment="1" applyProtection="1">
      <alignment horizontal="center"/>
      <protection hidden="1"/>
    </xf>
    <xf numFmtId="0" fontId="120" fillId="7" borderId="0" xfId="0" applyFont="1" applyFill="1" applyAlignment="1" applyProtection="1">
      <alignment horizontal="center"/>
      <protection hidden="1"/>
    </xf>
    <xf numFmtId="0" fontId="83" fillId="7" borderId="0" xfId="0" applyFont="1" applyFill="1"/>
    <xf numFmtId="0" fontId="6" fillId="7" borderId="0" xfId="0" applyFont="1" applyFill="1" applyAlignment="1" applyProtection="1">
      <alignment horizontal="center"/>
      <protection hidden="1"/>
    </xf>
    <xf numFmtId="0" fontId="28" fillId="7" borderId="0" xfId="0" applyFont="1" applyFill="1" applyAlignment="1" applyProtection="1">
      <alignment horizontal="center" vertical="center"/>
      <protection hidden="1"/>
    </xf>
    <xf numFmtId="0" fontId="135" fillId="7" borderId="0" xfId="0" applyFont="1" applyFill="1" applyAlignment="1" applyProtection="1">
      <alignment vertical="center"/>
      <protection hidden="1"/>
    </xf>
    <xf numFmtId="0" fontId="83" fillId="7" borderId="0" xfId="0" applyFont="1" applyFill="1" applyAlignment="1" applyProtection="1">
      <alignment horizontal="right" vertical="center"/>
      <protection hidden="1"/>
    </xf>
    <xf numFmtId="0" fontId="167" fillId="7" borderId="0" xfId="0" applyFont="1" applyFill="1" applyAlignment="1" applyProtection="1">
      <alignment horizontal="right" vertical="center"/>
      <protection hidden="1"/>
    </xf>
    <xf numFmtId="0" fontId="173" fillId="7" borderId="0" xfId="0" applyFont="1" applyFill="1" applyProtection="1">
      <protection hidden="1"/>
    </xf>
    <xf numFmtId="0" fontId="174" fillId="7" borderId="0" xfId="0" applyFont="1" applyFill="1" applyAlignment="1" applyProtection="1">
      <alignment vertical="center"/>
      <protection hidden="1"/>
    </xf>
    <xf numFmtId="0" fontId="97" fillId="7" borderId="0" xfId="0" applyFont="1" applyFill="1" applyProtection="1">
      <protection hidden="1"/>
    </xf>
    <xf numFmtId="0" fontId="11" fillId="7" borderId="0" xfId="0" applyFont="1" applyFill="1" applyProtection="1">
      <protection hidden="1"/>
    </xf>
    <xf numFmtId="0" fontId="6" fillId="16" borderId="0" xfId="0" applyFont="1" applyFill="1" applyAlignment="1">
      <alignment vertical="center"/>
    </xf>
    <xf numFmtId="1" fontId="6" fillId="16" borderId="0" xfId="0" applyNumberFormat="1" applyFont="1" applyFill="1" applyAlignment="1">
      <alignment vertical="center"/>
    </xf>
    <xf numFmtId="49" fontId="27" fillId="16" borderId="0" xfId="0" quotePrefix="1" applyNumberFormat="1" applyFont="1" applyFill="1" applyAlignment="1" applyProtection="1">
      <alignment vertical="top"/>
      <protection hidden="1"/>
    </xf>
    <xf numFmtId="49" fontId="6" fillId="16" borderId="0" xfId="0" applyNumberFormat="1" applyFont="1" applyFill="1" applyAlignment="1" applyProtection="1">
      <alignment vertical="center"/>
      <protection hidden="1"/>
    </xf>
    <xf numFmtId="0" fontId="6" fillId="16" borderId="0" xfId="0" applyFont="1" applyFill="1" applyAlignment="1">
      <alignment horizontal="center" vertical="center"/>
    </xf>
    <xf numFmtId="49" fontId="11" fillId="16" borderId="0" xfId="0" quotePrefix="1" applyNumberFormat="1" applyFont="1" applyFill="1" applyAlignment="1" applyProtection="1">
      <alignment vertical="center"/>
      <protection hidden="1"/>
    </xf>
    <xf numFmtId="49" fontId="11" fillId="16" borderId="0" xfId="0" applyNumberFormat="1" applyFont="1" applyFill="1" applyAlignment="1" applyProtection="1">
      <alignment vertical="center"/>
      <protection hidden="1"/>
    </xf>
    <xf numFmtId="0" fontId="226" fillId="7" borderId="0" xfId="0" applyFont="1" applyFill="1" applyAlignment="1" applyProtection="1">
      <alignment horizontal="center" vertical="center"/>
      <protection hidden="1"/>
    </xf>
    <xf numFmtId="2" fontId="11" fillId="0" borderId="91" xfId="0" applyNumberFormat="1" applyFont="1" applyBorder="1" applyAlignment="1">
      <alignment vertical="center"/>
    </xf>
    <xf numFmtId="2" fontId="11" fillId="0" borderId="26" xfId="0" applyNumberFormat="1" applyFont="1" applyBorder="1" applyAlignment="1">
      <alignment vertical="center"/>
    </xf>
    <xf numFmtId="2" fontId="11" fillId="0" borderId="94" xfId="0" applyNumberFormat="1" applyFont="1" applyBorder="1" applyAlignment="1">
      <alignment vertical="center"/>
    </xf>
    <xf numFmtId="2" fontId="11" fillId="0" borderId="96" xfId="0" applyNumberFormat="1" applyFont="1" applyBorder="1" applyAlignment="1">
      <alignment vertical="center"/>
    </xf>
    <xf numFmtId="2" fontId="11" fillId="0" borderId="149" xfId="0" applyNumberFormat="1" applyFont="1" applyBorder="1" applyAlignment="1">
      <alignment vertical="center"/>
    </xf>
    <xf numFmtId="2" fontId="11" fillId="6" borderId="116" xfId="0" applyNumberFormat="1" applyFont="1" applyFill="1" applyBorder="1" applyAlignment="1">
      <alignment horizontal="left" vertical="center"/>
    </xf>
    <xf numFmtId="2" fontId="11" fillId="0" borderId="206" xfId="0" applyNumberFormat="1" applyFont="1" applyBorder="1" applyAlignment="1">
      <alignment vertical="center"/>
    </xf>
    <xf numFmtId="2" fontId="11" fillId="6" borderId="207" xfId="0" applyNumberFormat="1" applyFont="1" applyFill="1" applyBorder="1" applyAlignment="1">
      <alignment horizontal="center" vertical="center"/>
    </xf>
    <xf numFmtId="2" fontId="11" fillId="0" borderId="208" xfId="0" applyNumberFormat="1" applyFont="1" applyBorder="1" applyAlignment="1">
      <alignment vertical="center"/>
    </xf>
    <xf numFmtId="2" fontId="11" fillId="0" borderId="96" xfId="0" applyNumberFormat="1" applyFont="1" applyBorder="1" applyAlignment="1">
      <alignment vertical="top"/>
    </xf>
    <xf numFmtId="2" fontId="11" fillId="0" borderId="209" xfId="0" applyNumberFormat="1" applyFont="1" applyBorder="1" applyAlignment="1">
      <alignment vertical="center"/>
    </xf>
    <xf numFmtId="0" fontId="6" fillId="6" borderId="0" xfId="0" applyFont="1" applyFill="1" applyAlignment="1" applyProtection="1">
      <alignment horizontal="center" vertical="center"/>
      <protection hidden="1"/>
    </xf>
    <xf numFmtId="0" fontId="11" fillId="6" borderId="0" xfId="0" applyFont="1" applyFill="1" applyAlignment="1">
      <alignment vertical="center"/>
    </xf>
    <xf numFmtId="0" fontId="11" fillId="6" borderId="0" xfId="0" applyFont="1" applyFill="1" applyAlignment="1" applyProtection="1">
      <alignment vertical="center"/>
      <protection hidden="1"/>
    </xf>
    <xf numFmtId="2" fontId="11" fillId="6" borderId="0" xfId="0" applyNumberFormat="1" applyFont="1" applyFill="1" applyAlignment="1" applyProtection="1">
      <alignment vertical="center"/>
      <protection hidden="1"/>
    </xf>
    <xf numFmtId="0" fontId="18" fillId="0" borderId="0" xfId="0" applyFont="1" applyProtection="1">
      <protection locked="0"/>
    </xf>
    <xf numFmtId="165" fontId="18" fillId="0" borderId="0" xfId="6" applyFont="1" applyAlignment="1" applyProtection="1">
      <alignment vertical="center"/>
      <protection hidden="1"/>
    </xf>
    <xf numFmtId="165" fontId="11" fillId="0" borderId="0" xfId="6" applyFont="1" applyAlignment="1" applyProtection="1">
      <alignment vertical="center"/>
      <protection hidden="1"/>
    </xf>
    <xf numFmtId="0" fontId="18" fillId="7" borderId="0" xfId="0" applyFont="1" applyFill="1" applyProtection="1">
      <protection hidden="1"/>
    </xf>
    <xf numFmtId="0" fontId="212" fillId="7" borderId="0" xfId="0" applyFont="1" applyFill="1" applyProtection="1">
      <protection hidden="1"/>
    </xf>
    <xf numFmtId="0" fontId="18" fillId="20" borderId="0" xfId="0" applyFont="1" applyFill="1" applyAlignment="1" applyProtection="1">
      <alignment horizontal="left"/>
      <protection hidden="1"/>
    </xf>
    <xf numFmtId="0" fontId="233" fillId="0" borderId="0" xfId="0" applyFont="1" applyProtection="1">
      <protection hidden="1"/>
    </xf>
    <xf numFmtId="0" fontId="233" fillId="0" borderId="0" xfId="0" applyFont="1" applyAlignment="1" applyProtection="1">
      <alignment horizontal="left"/>
      <protection hidden="1"/>
    </xf>
    <xf numFmtId="180" fontId="22" fillId="0" borderId="0" xfId="6" applyNumberFormat="1" applyFont="1" applyAlignment="1" applyProtection="1">
      <alignment vertical="center"/>
      <protection hidden="1"/>
    </xf>
    <xf numFmtId="165" fontId="22" fillId="0" borderId="0" xfId="6" applyFont="1" applyAlignment="1" applyProtection="1">
      <alignment vertical="center"/>
      <protection hidden="1"/>
    </xf>
    <xf numFmtId="0" fontId="18" fillId="0" borderId="0" xfId="0" applyFont="1" applyAlignment="1" applyProtection="1">
      <alignment horizontal="left"/>
      <protection hidden="1"/>
    </xf>
    <xf numFmtId="0" fontId="22" fillId="0" borderId="0" xfId="0" applyFont="1" applyAlignment="1" applyProtection="1">
      <alignment horizontal="center"/>
      <protection hidden="1"/>
    </xf>
    <xf numFmtId="0" fontId="105" fillId="0" borderId="0" xfId="0" applyFont="1" applyProtection="1">
      <protection hidden="1"/>
    </xf>
    <xf numFmtId="0" fontId="105" fillId="12" borderId="7" xfId="0" applyFont="1" applyFill="1" applyBorder="1" applyAlignment="1" applyProtection="1">
      <alignment horizontal="left" vertical="center"/>
      <protection hidden="1"/>
    </xf>
    <xf numFmtId="0" fontId="18" fillId="20" borderId="0" xfId="0" applyFont="1" applyFill="1" applyProtection="1">
      <protection hidden="1"/>
    </xf>
    <xf numFmtId="0" fontId="105" fillId="3" borderId="7" xfId="0" applyFont="1" applyFill="1" applyBorder="1" applyAlignment="1" applyProtection="1">
      <alignment horizontal="left" vertical="center"/>
      <protection hidden="1"/>
    </xf>
    <xf numFmtId="0" fontId="233" fillId="0" borderId="210" xfId="0" applyFont="1" applyBorder="1" applyAlignment="1" applyProtection="1">
      <alignment horizontal="center"/>
      <protection hidden="1"/>
    </xf>
    <xf numFmtId="0" fontId="2" fillId="0" borderId="2" xfId="0" applyFont="1" applyBorder="1" applyProtection="1">
      <protection hidden="1"/>
    </xf>
    <xf numFmtId="0" fontId="106" fillId="0" borderId="0" xfId="0" applyFont="1" applyProtection="1">
      <protection hidden="1"/>
    </xf>
    <xf numFmtId="0" fontId="234" fillId="0" borderId="0" xfId="0" applyFont="1" applyAlignment="1" applyProtection="1">
      <alignment horizontal="center"/>
      <protection hidden="1"/>
    </xf>
    <xf numFmtId="0" fontId="83" fillId="0" borderId="2" xfId="0" applyFont="1" applyBorder="1" applyProtection="1">
      <protection hidden="1"/>
    </xf>
    <xf numFmtId="1" fontId="106" fillId="0" borderId="0" xfId="0" applyNumberFormat="1" applyFont="1" applyAlignment="1" applyProtection="1">
      <alignment horizontal="center"/>
      <protection hidden="1"/>
    </xf>
    <xf numFmtId="0" fontId="167" fillId="0" borderId="9" xfId="0" applyFont="1" applyBorder="1" applyAlignment="1" applyProtection="1">
      <alignment horizontal="center"/>
      <protection hidden="1"/>
    </xf>
    <xf numFmtId="180" fontId="105" fillId="0" borderId="211" xfId="6" applyNumberFormat="1" applyFont="1" applyBorder="1" applyAlignment="1" applyProtection="1">
      <alignment horizontal="center" vertical="center"/>
      <protection hidden="1"/>
    </xf>
    <xf numFmtId="180" fontId="105" fillId="0" borderId="212" xfId="6" applyNumberFormat="1" applyFont="1" applyBorder="1" applyAlignment="1" applyProtection="1">
      <alignment horizontal="center" vertical="center"/>
      <protection hidden="1"/>
    </xf>
    <xf numFmtId="180" fontId="135" fillId="0" borderId="16" xfId="6" applyNumberFormat="1" applyFont="1" applyBorder="1" applyAlignment="1" applyProtection="1">
      <alignment horizontal="left" vertical="center"/>
      <protection hidden="1"/>
    </xf>
    <xf numFmtId="180" fontId="105" fillId="0" borderId="58" xfId="6" applyNumberFormat="1" applyFont="1" applyBorder="1" applyAlignment="1" applyProtection="1">
      <alignment horizontal="center" vertical="center"/>
      <protection hidden="1"/>
    </xf>
    <xf numFmtId="180" fontId="105" fillId="0" borderId="15" xfId="6" applyNumberFormat="1" applyFont="1" applyBorder="1" applyAlignment="1" applyProtection="1">
      <alignment horizontal="center" vertical="center"/>
      <protection hidden="1"/>
    </xf>
    <xf numFmtId="0" fontId="235" fillId="0" borderId="2" xfId="0" applyFont="1" applyBorder="1" applyAlignment="1" applyProtection="1">
      <alignment horizontal="center" vertical="center"/>
      <protection hidden="1"/>
    </xf>
    <xf numFmtId="0" fontId="105" fillId="7" borderId="0" xfId="0" applyFont="1" applyFill="1" applyProtection="1">
      <protection hidden="1"/>
    </xf>
    <xf numFmtId="0" fontId="235" fillId="0" borderId="0" xfId="0" applyFont="1" applyAlignment="1" applyProtection="1">
      <alignment horizontal="center"/>
      <protection hidden="1"/>
    </xf>
    <xf numFmtId="1" fontId="106" fillId="0" borderId="109" xfId="0" applyNumberFormat="1" applyFont="1" applyBorder="1" applyAlignment="1" applyProtection="1">
      <alignment horizontal="center"/>
      <protection hidden="1"/>
    </xf>
    <xf numFmtId="0" fontId="167" fillId="0" borderId="12" xfId="0" applyFont="1" applyBorder="1" applyAlignment="1" applyProtection="1">
      <alignment horizontal="center" vertical="top"/>
      <protection hidden="1"/>
    </xf>
    <xf numFmtId="180" fontId="105" fillId="0" borderId="109" xfId="6" applyNumberFormat="1" applyFont="1" applyBorder="1" applyAlignment="1" applyProtection="1">
      <alignment horizontal="center" vertical="center"/>
      <protection hidden="1"/>
    </xf>
    <xf numFmtId="180" fontId="105" fillId="0" borderId="108" xfId="6" applyNumberFormat="1" applyFont="1" applyBorder="1" applyAlignment="1" applyProtection="1">
      <alignment horizontal="center" vertical="center"/>
      <protection hidden="1"/>
    </xf>
    <xf numFmtId="180" fontId="105" fillId="0" borderId="12" xfId="6" applyNumberFormat="1" applyFont="1" applyBorder="1" applyAlignment="1" applyProtection="1">
      <alignment horizontal="center" vertical="center"/>
      <protection hidden="1"/>
    </xf>
    <xf numFmtId="0" fontId="235" fillId="0" borderId="214" xfId="0" applyFont="1" applyBorder="1" applyAlignment="1" applyProtection="1">
      <alignment horizontal="center" vertical="center"/>
      <protection hidden="1"/>
    </xf>
    <xf numFmtId="0" fontId="233" fillId="0" borderId="215" xfId="0" applyFont="1" applyBorder="1" applyAlignment="1" applyProtection="1">
      <alignment horizontal="left"/>
      <protection hidden="1"/>
    </xf>
    <xf numFmtId="0" fontId="233" fillId="0" borderId="216" xfId="0" applyFont="1" applyBorder="1" applyAlignment="1" applyProtection="1">
      <alignment horizontal="center"/>
      <protection hidden="1"/>
    </xf>
    <xf numFmtId="0" fontId="235" fillId="0" borderId="215" xfId="0" applyFont="1" applyBorder="1" applyAlignment="1" applyProtection="1">
      <alignment horizontal="center"/>
      <protection hidden="1"/>
    </xf>
    <xf numFmtId="0" fontId="236" fillId="0" borderId="215" xfId="0" applyFont="1" applyBorder="1" applyProtection="1">
      <protection hidden="1"/>
    </xf>
    <xf numFmtId="0" fontId="233" fillId="0" borderId="215" xfId="0" applyFont="1" applyBorder="1" applyProtection="1">
      <protection hidden="1"/>
    </xf>
    <xf numFmtId="0" fontId="235" fillId="0" borderId="0" xfId="0" applyFont="1" applyAlignment="1" applyProtection="1">
      <alignment horizontal="center" vertical="center"/>
      <protection hidden="1"/>
    </xf>
    <xf numFmtId="0" fontId="235" fillId="7" borderId="0" xfId="0" applyFont="1" applyFill="1" applyAlignment="1" applyProtection="1">
      <alignment horizontal="center" vertical="center"/>
      <protection hidden="1"/>
    </xf>
    <xf numFmtId="0" fontId="106" fillId="0" borderId="0" xfId="0" applyFont="1" applyAlignment="1" applyProtection="1">
      <alignment vertical="center"/>
      <protection hidden="1"/>
    </xf>
    <xf numFmtId="0" fontId="18" fillId="20" borderId="0" xfId="0" applyFont="1" applyFill="1" applyAlignment="1" applyProtection="1">
      <alignment vertical="center"/>
      <protection hidden="1"/>
    </xf>
    <xf numFmtId="0" fontId="233" fillId="0" borderId="0" xfId="0" applyFont="1" applyAlignment="1" applyProtection="1">
      <alignment horizontal="center" vertical="center"/>
      <protection hidden="1"/>
    </xf>
    <xf numFmtId="0" fontId="233" fillId="0" borderId="0" xfId="0" applyFont="1" applyAlignment="1" applyProtection="1">
      <alignment horizontal="left" vertical="center"/>
      <protection hidden="1"/>
    </xf>
    <xf numFmtId="1" fontId="236" fillId="0" borderId="0" xfId="0" applyNumberFormat="1" applyFont="1" applyAlignment="1" applyProtection="1">
      <alignment horizontal="center" vertical="center"/>
      <protection hidden="1"/>
    </xf>
    <xf numFmtId="0" fontId="236" fillId="0" borderId="0" xfId="0" applyFont="1" applyAlignment="1" applyProtection="1">
      <alignment horizontal="center" vertical="center"/>
      <protection hidden="1"/>
    </xf>
    <xf numFmtId="0" fontId="18" fillId="0" borderId="210" xfId="0" applyFont="1" applyBorder="1" applyAlignment="1" applyProtection="1">
      <alignment horizontal="center" vertical="center"/>
      <protection hidden="1"/>
    </xf>
    <xf numFmtId="0" fontId="233" fillId="0" borderId="0" xfId="0" applyFont="1" applyAlignment="1" applyProtection="1">
      <alignment vertical="center"/>
      <protection hidden="1"/>
    </xf>
    <xf numFmtId="0" fontId="238" fillId="0" borderId="0" xfId="0" applyFont="1" applyAlignment="1" applyProtection="1">
      <alignment vertical="center"/>
      <protection hidden="1"/>
    </xf>
    <xf numFmtId="0" fontId="239" fillId="0" borderId="0" xfId="0" applyFont="1" applyAlignment="1" applyProtection="1">
      <alignment vertical="center"/>
      <protection hidden="1"/>
    </xf>
    <xf numFmtId="0" fontId="233" fillId="0" borderId="210" xfId="0" applyFont="1" applyBorder="1" applyAlignment="1" applyProtection="1">
      <alignment horizontal="center" vertical="center"/>
      <protection hidden="1"/>
    </xf>
    <xf numFmtId="0" fontId="236" fillId="0" borderId="0" xfId="0" applyFont="1" applyAlignment="1" applyProtection="1">
      <alignment vertical="center"/>
      <protection hidden="1"/>
    </xf>
    <xf numFmtId="0" fontId="106" fillId="0" borderId="0" xfId="0" applyFont="1" applyAlignment="1" applyProtection="1">
      <alignment vertical="top"/>
      <protection hidden="1"/>
    </xf>
    <xf numFmtId="0" fontId="233" fillId="0" borderId="215" xfId="0" applyFont="1" applyBorder="1" applyAlignment="1" applyProtection="1">
      <alignment horizontal="left" vertical="center"/>
      <protection hidden="1"/>
    </xf>
    <xf numFmtId="0" fontId="233" fillId="0" borderId="216" xfId="0" applyFont="1" applyBorder="1" applyAlignment="1" applyProtection="1">
      <alignment horizontal="center" vertical="center"/>
      <protection hidden="1"/>
    </xf>
    <xf numFmtId="0" fontId="18" fillId="7" borderId="0" xfId="0" applyFont="1" applyFill="1" applyAlignment="1" applyProtection="1">
      <alignment vertical="center"/>
      <protection hidden="1"/>
    </xf>
    <xf numFmtId="0" fontId="233" fillId="0" borderId="210" xfId="0" applyFont="1" applyBorder="1" applyAlignment="1" applyProtection="1">
      <alignment vertical="center"/>
      <protection hidden="1"/>
    </xf>
    <xf numFmtId="0" fontId="18" fillId="0" borderId="217" xfId="0" applyFont="1" applyBorder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right"/>
      <protection hidden="1"/>
    </xf>
    <xf numFmtId="165" fontId="106" fillId="0" borderId="0" xfId="6" applyFont="1" applyAlignment="1" applyProtection="1">
      <alignment vertical="center"/>
      <protection hidden="1"/>
    </xf>
    <xf numFmtId="0" fontId="241" fillId="7" borderId="0" xfId="0" applyFont="1" applyFill="1" applyProtection="1">
      <protection hidden="1"/>
    </xf>
    <xf numFmtId="165" fontId="241" fillId="7" borderId="0" xfId="6" applyFont="1" applyFill="1" applyAlignment="1" applyProtection="1">
      <alignment vertical="center"/>
      <protection hidden="1"/>
    </xf>
    <xf numFmtId="165" fontId="18" fillId="20" borderId="0" xfId="6" applyFont="1" applyFill="1" applyAlignment="1" applyProtection="1">
      <alignment vertical="center"/>
      <protection hidden="1"/>
    </xf>
    <xf numFmtId="165" fontId="233" fillId="0" borderId="0" xfId="6" applyFont="1" applyAlignment="1" applyProtection="1">
      <alignment vertical="center"/>
      <protection hidden="1"/>
    </xf>
    <xf numFmtId="165" fontId="233" fillId="0" borderId="0" xfId="6" applyFont="1" applyAlignment="1" applyProtection="1">
      <alignment horizontal="left" vertical="center"/>
      <protection hidden="1"/>
    </xf>
    <xf numFmtId="165" fontId="18" fillId="7" borderId="0" xfId="6" applyFont="1" applyFill="1" applyAlignment="1" applyProtection="1">
      <alignment vertical="center"/>
      <protection hidden="1"/>
    </xf>
    <xf numFmtId="0" fontId="238" fillId="0" borderId="0" xfId="0" applyFont="1" applyProtection="1">
      <protection hidden="1"/>
    </xf>
    <xf numFmtId="165" fontId="238" fillId="0" borderId="0" xfId="6" applyFont="1" applyAlignment="1" applyProtection="1">
      <alignment vertical="top"/>
      <protection hidden="1"/>
    </xf>
    <xf numFmtId="165" fontId="6" fillId="0" borderId="12" xfId="6" applyFont="1" applyBorder="1" applyAlignment="1" applyProtection="1">
      <alignment horizontal="centerContinuous" vertical="center"/>
      <protection hidden="1"/>
    </xf>
    <xf numFmtId="165" fontId="242" fillId="0" borderId="0" xfId="6" applyFont="1" applyAlignment="1" applyProtection="1">
      <alignment vertical="center"/>
      <protection hidden="1"/>
    </xf>
    <xf numFmtId="165" fontId="238" fillId="0" borderId="0" xfId="6" applyFont="1" applyAlignment="1" applyProtection="1">
      <alignment vertical="center"/>
      <protection hidden="1"/>
    </xf>
    <xf numFmtId="165" fontId="242" fillId="0" borderId="0" xfId="6" applyFont="1" applyAlignment="1" applyProtection="1">
      <alignment horizontal="right" vertical="center"/>
      <protection hidden="1"/>
    </xf>
    <xf numFmtId="0" fontId="233" fillId="0" borderId="7" xfId="0" applyFont="1" applyBorder="1" applyProtection="1">
      <protection hidden="1"/>
    </xf>
    <xf numFmtId="165" fontId="233" fillId="0" borderId="11" xfId="6" applyFont="1" applyBorder="1" applyAlignment="1" applyProtection="1">
      <alignment vertical="center"/>
      <protection hidden="1"/>
    </xf>
    <xf numFmtId="165" fontId="233" fillId="0" borderId="8" xfId="6" applyFont="1" applyBorder="1" applyAlignment="1" applyProtection="1">
      <alignment horizontal="center" vertical="center"/>
      <protection hidden="1"/>
    </xf>
    <xf numFmtId="1" fontId="233" fillId="0" borderId="1" xfId="6" applyNumberFormat="1" applyFont="1" applyBorder="1" applyAlignment="1" applyProtection="1">
      <alignment vertical="center"/>
      <protection hidden="1"/>
    </xf>
    <xf numFmtId="9" fontId="233" fillId="0" borderId="7" xfId="3" applyFont="1" applyBorder="1" applyAlignment="1" applyProtection="1">
      <alignment horizontal="center" vertical="center"/>
      <protection hidden="1"/>
    </xf>
    <xf numFmtId="9" fontId="233" fillId="0" borderId="9" xfId="3" applyFont="1" applyBorder="1" applyAlignment="1" applyProtection="1">
      <alignment horizontal="center" vertical="center"/>
      <protection hidden="1"/>
    </xf>
    <xf numFmtId="180" fontId="242" fillId="0" borderId="0" xfId="6" applyNumberFormat="1" applyFont="1" applyAlignment="1" applyProtection="1">
      <alignment horizontal="center" vertical="center"/>
      <protection hidden="1"/>
    </xf>
    <xf numFmtId="165" fontId="233" fillId="0" borderId="2" xfId="6" applyFont="1" applyBorder="1" applyAlignment="1" applyProtection="1">
      <alignment vertical="center"/>
      <protection hidden="1"/>
    </xf>
    <xf numFmtId="9" fontId="233" fillId="0" borderId="8" xfId="3" applyFont="1" applyBorder="1" applyAlignment="1" applyProtection="1">
      <alignment horizontal="center" vertical="center"/>
      <protection hidden="1"/>
    </xf>
    <xf numFmtId="165" fontId="233" fillId="0" borderId="7" xfId="6" applyFont="1" applyBorder="1" applyAlignment="1" applyProtection="1">
      <alignment vertical="center"/>
      <protection hidden="1"/>
    </xf>
    <xf numFmtId="165" fontId="2" fillId="0" borderId="0" xfId="6" applyFont="1" applyAlignment="1" applyProtection="1">
      <alignment vertical="center"/>
      <protection hidden="1"/>
    </xf>
    <xf numFmtId="1" fontId="243" fillId="0" borderId="0" xfId="6" applyNumberFormat="1" applyFont="1" applyAlignment="1" applyProtection="1">
      <alignment horizontal="center" vertical="center"/>
      <protection hidden="1"/>
    </xf>
    <xf numFmtId="1" fontId="18" fillId="0" borderId="0" xfId="6" applyNumberFormat="1" applyFont="1" applyAlignment="1" applyProtection="1">
      <alignment vertical="center"/>
      <protection hidden="1"/>
    </xf>
    <xf numFmtId="1" fontId="18" fillId="0" borderId="0" xfId="6" applyNumberFormat="1" applyFont="1" applyAlignment="1" applyProtection="1">
      <alignment horizontal="center" vertical="center"/>
      <protection hidden="1"/>
    </xf>
    <xf numFmtId="165" fontId="2" fillId="2" borderId="0" xfId="6" applyFont="1" applyFill="1" applyAlignment="1" applyProtection="1">
      <alignment vertical="center"/>
      <protection hidden="1"/>
    </xf>
    <xf numFmtId="165" fontId="18" fillId="3" borderId="14" xfId="6" applyFont="1" applyFill="1" applyBorder="1" applyAlignment="1" applyProtection="1">
      <alignment vertical="center"/>
      <protection hidden="1"/>
    </xf>
    <xf numFmtId="165" fontId="2" fillId="0" borderId="0" xfId="6" applyFont="1" applyAlignment="1" applyProtection="1">
      <alignment horizontal="right" vertical="center"/>
      <protection hidden="1"/>
    </xf>
    <xf numFmtId="180" fontId="210" fillId="0" borderId="0" xfId="6" applyNumberFormat="1" applyFont="1" applyAlignment="1" applyProtection="1">
      <alignment horizontal="left" vertical="center"/>
      <protection hidden="1"/>
    </xf>
    <xf numFmtId="165" fontId="11" fillId="7" borderId="0" xfId="6" applyFont="1" applyFill="1" applyAlignment="1" applyProtection="1">
      <alignment vertical="center"/>
      <protection hidden="1"/>
    </xf>
    <xf numFmtId="165" fontId="244" fillId="0" borderId="0" xfId="6" applyFont="1" applyAlignment="1" applyProtection="1">
      <alignment vertical="center"/>
      <protection hidden="1"/>
    </xf>
    <xf numFmtId="0" fontId="233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/>
      <protection hidden="1"/>
    </xf>
    <xf numFmtId="0" fontId="15" fillId="0" borderId="0" xfId="0" applyFont="1" applyProtection="1">
      <protection hidden="1"/>
    </xf>
    <xf numFmtId="165" fontId="15" fillId="0" borderId="0" xfId="6" applyFont="1" applyAlignment="1" applyProtection="1">
      <alignment vertical="center"/>
      <protection hidden="1"/>
    </xf>
    <xf numFmtId="165" fontId="211" fillId="7" borderId="0" xfId="6" applyFont="1" applyFill="1" applyAlignment="1" applyProtection="1">
      <alignment vertical="center"/>
      <protection hidden="1"/>
    </xf>
    <xf numFmtId="0" fontId="106" fillId="7" borderId="0" xfId="0" applyFont="1" applyFill="1" applyProtection="1">
      <protection hidden="1"/>
    </xf>
    <xf numFmtId="0" fontId="13" fillId="0" borderId="0" xfId="0" applyFont="1"/>
    <xf numFmtId="0" fontId="11" fillId="0" borderId="14" xfId="0" applyFont="1" applyBorder="1" applyAlignment="1">
      <alignment horizontal="center"/>
    </xf>
    <xf numFmtId="0" fontId="11" fillId="0" borderId="0" xfId="0" quotePrefix="1" applyFont="1" applyAlignment="1">
      <alignment horizontal="center"/>
    </xf>
    <xf numFmtId="0" fontId="245" fillId="0" borderId="0" xfId="0" applyFont="1" applyAlignment="1">
      <alignment horizontal="center"/>
    </xf>
    <xf numFmtId="0" fontId="245" fillId="0" borderId="1" xfId="0" applyFont="1" applyBorder="1" applyAlignment="1">
      <alignment horizontal="center"/>
    </xf>
    <xf numFmtId="0" fontId="245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246" fillId="0" borderId="0" xfId="0" applyFont="1" applyAlignment="1" applyProtection="1">
      <alignment vertical="center"/>
      <protection hidden="1"/>
    </xf>
    <xf numFmtId="0" fontId="246" fillId="0" borderId="0" xfId="0" applyFont="1" applyAlignment="1" applyProtection="1">
      <alignment horizontal="center" vertical="center"/>
      <protection hidden="1"/>
    </xf>
    <xf numFmtId="0" fontId="246" fillId="0" borderId="14" xfId="0" applyFont="1" applyBorder="1" applyAlignment="1" applyProtection="1">
      <alignment vertical="center"/>
      <protection hidden="1"/>
    </xf>
    <xf numFmtId="0" fontId="240" fillId="0" borderId="0" xfId="0" applyFont="1" applyAlignment="1">
      <alignment vertical="center"/>
    </xf>
    <xf numFmtId="0" fontId="6" fillId="0" borderId="0" xfId="0" applyFont="1" applyAlignment="1" applyProtection="1">
      <alignment horizontal="center" vertical="center"/>
      <protection locked="0"/>
    </xf>
    <xf numFmtId="3" fontId="79" fillId="3" borderId="52" xfId="4" applyNumberFormat="1" applyFont="1" applyFill="1" applyBorder="1" applyProtection="1">
      <protection locked="0"/>
    </xf>
    <xf numFmtId="0" fontId="144" fillId="0" borderId="0" xfId="0" applyFont="1" applyAlignment="1" applyProtection="1">
      <alignment vertical="center"/>
      <protection hidden="1"/>
    </xf>
    <xf numFmtId="0" fontId="13" fillId="3" borderId="6" xfId="0" applyFont="1" applyFill="1" applyBorder="1" applyAlignment="1">
      <alignment vertical="center"/>
    </xf>
    <xf numFmtId="0" fontId="13" fillId="12" borderId="6" xfId="0" applyFont="1" applyFill="1" applyBorder="1" applyAlignment="1">
      <alignment vertical="center"/>
    </xf>
    <xf numFmtId="0" fontId="13" fillId="0" borderId="6" xfId="0" applyFont="1" applyBorder="1" applyAlignment="1">
      <alignment vertical="center"/>
    </xf>
    <xf numFmtId="171" fontId="11" fillId="17" borderId="218" xfId="4" applyNumberFormat="1" applyFont="1" applyFill="1" applyBorder="1" applyAlignment="1">
      <alignment horizontal="right" vertical="center"/>
    </xf>
    <xf numFmtId="171" fontId="11" fillId="17" borderId="59" xfId="4" applyNumberFormat="1" applyFont="1" applyFill="1" applyBorder="1" applyAlignment="1">
      <alignment horizontal="right" vertical="center"/>
    </xf>
    <xf numFmtId="14" fontId="97" fillId="3" borderId="31" xfId="4" applyNumberFormat="1" applyFont="1" applyFill="1" applyBorder="1" applyAlignment="1" applyProtection="1">
      <alignment horizontal="left" vertical="center"/>
      <protection locked="0"/>
    </xf>
    <xf numFmtId="0" fontId="11" fillId="3" borderId="31" xfId="4" applyFont="1" applyFill="1" applyBorder="1" applyAlignment="1" applyProtection="1">
      <alignment vertical="center"/>
      <protection locked="0"/>
    </xf>
    <xf numFmtId="0" fontId="11" fillId="3" borderId="50" xfId="4" applyFont="1" applyFill="1" applyBorder="1" applyAlignment="1" applyProtection="1">
      <alignment vertical="center"/>
      <protection locked="0"/>
    </xf>
    <xf numFmtId="4" fontId="11" fillId="3" borderId="50" xfId="4" applyNumberFormat="1" applyFont="1" applyFill="1" applyBorder="1" applyAlignment="1" applyProtection="1">
      <alignment vertical="center"/>
      <protection locked="0"/>
    </xf>
    <xf numFmtId="0" fontId="11" fillId="3" borderId="49" xfId="4" applyFont="1" applyFill="1" applyBorder="1" applyAlignment="1" applyProtection="1">
      <alignment horizontal="center" vertical="center"/>
      <protection locked="0"/>
    </xf>
    <xf numFmtId="0" fontId="11" fillId="3" borderId="50" xfId="4" applyFont="1" applyFill="1" applyBorder="1" applyAlignment="1" applyProtection="1">
      <alignment horizontal="right" vertical="center"/>
      <protection locked="0"/>
    </xf>
    <xf numFmtId="0" fontId="27" fillId="3" borderId="78" xfId="0" applyFont="1" applyFill="1" applyBorder="1" applyAlignment="1" applyProtection="1">
      <alignment horizontal="center" vertical="center"/>
      <protection locked="0" hidden="1"/>
    </xf>
    <xf numFmtId="0" fontId="27" fillId="3" borderId="20" xfId="0" applyFont="1" applyFill="1" applyBorder="1" applyAlignment="1" applyProtection="1">
      <alignment horizontal="center" vertical="center"/>
      <protection locked="0" hidden="1"/>
    </xf>
    <xf numFmtId="0" fontId="27" fillId="3" borderId="95" xfId="0" applyFont="1" applyFill="1" applyBorder="1" applyAlignment="1" applyProtection="1">
      <alignment horizontal="center" vertical="center"/>
      <protection locked="0" hidden="1"/>
    </xf>
    <xf numFmtId="165" fontId="27" fillId="3" borderId="78" xfId="0" applyNumberFormat="1" applyFont="1" applyFill="1" applyBorder="1" applyAlignment="1" applyProtection="1">
      <alignment horizontal="center" vertical="center"/>
      <protection locked="0" hidden="1"/>
    </xf>
    <xf numFmtId="165" fontId="27" fillId="3" borderId="20" xfId="0" applyNumberFormat="1" applyFont="1" applyFill="1" applyBorder="1" applyAlignment="1" applyProtection="1">
      <alignment horizontal="center" vertical="center"/>
      <protection locked="0" hidden="1"/>
    </xf>
    <xf numFmtId="165" fontId="27" fillId="3" borderId="95" xfId="0" applyNumberFormat="1" applyFont="1" applyFill="1" applyBorder="1" applyAlignment="1" applyProtection="1">
      <alignment horizontal="center" vertical="center"/>
      <protection locked="0" hidden="1"/>
    </xf>
    <xf numFmtId="165" fontId="27" fillId="3" borderId="78" xfId="0" applyNumberFormat="1" applyFont="1" applyFill="1" applyBorder="1" applyAlignment="1" applyProtection="1">
      <alignment horizontal="center" vertical="center"/>
      <protection locked="0"/>
    </xf>
    <xf numFmtId="165" fontId="27" fillId="3" borderId="20" xfId="0" applyNumberFormat="1" applyFont="1" applyFill="1" applyBorder="1" applyAlignment="1" applyProtection="1">
      <alignment horizontal="center" vertical="center"/>
      <protection locked="0"/>
    </xf>
    <xf numFmtId="165" fontId="27" fillId="3" borderId="95" xfId="0" applyNumberFormat="1" applyFont="1" applyFill="1" applyBorder="1" applyAlignment="1" applyProtection="1">
      <alignment horizontal="center" vertical="center"/>
      <protection locked="0"/>
    </xf>
    <xf numFmtId="0" fontId="27" fillId="3" borderId="128" xfId="0" applyFont="1" applyFill="1" applyBorder="1" applyAlignment="1" applyProtection="1">
      <alignment horizontal="center" vertical="center"/>
      <protection locked="0"/>
    </xf>
    <xf numFmtId="0" fontId="27" fillId="3" borderId="0" xfId="0" applyFont="1" applyFill="1" applyAlignment="1" applyProtection="1">
      <alignment horizontal="center" vertical="center"/>
      <protection locked="0"/>
    </xf>
    <xf numFmtId="0" fontId="27" fillId="3" borderId="56" xfId="0" applyFont="1" applyFill="1" applyBorder="1" applyAlignment="1" applyProtection="1">
      <alignment horizontal="center" vertical="center"/>
      <protection locked="0"/>
    </xf>
    <xf numFmtId="0" fontId="27" fillId="3" borderId="219" xfId="0" applyFont="1" applyFill="1" applyBorder="1" applyAlignment="1" applyProtection="1">
      <alignment horizontal="center" vertical="center"/>
      <protection locked="0"/>
    </xf>
    <xf numFmtId="0" fontId="27" fillId="3" borderId="123" xfId="0" applyFont="1" applyFill="1" applyBorder="1" applyAlignment="1" applyProtection="1">
      <alignment horizontal="center" vertical="center"/>
      <protection locked="0"/>
    </xf>
    <xf numFmtId="0" fontId="27" fillId="3" borderId="220" xfId="0" applyFont="1" applyFill="1" applyBorder="1" applyAlignment="1" applyProtection="1">
      <alignment horizontal="center" vertical="center"/>
      <protection locked="0"/>
    </xf>
    <xf numFmtId="0" fontId="53" fillId="0" borderId="1" xfId="0" applyFont="1" applyBorder="1" applyAlignment="1" applyProtection="1">
      <alignment horizontal="left" vertical="center"/>
      <protection hidden="1"/>
    </xf>
    <xf numFmtId="0" fontId="18" fillId="0" borderId="15" xfId="0" applyFont="1" applyBorder="1" applyAlignment="1" applyProtection="1">
      <alignment horizontal="center" vertical="center"/>
      <protection hidden="1"/>
    </xf>
    <xf numFmtId="0" fontId="53" fillId="0" borderId="2" xfId="0" applyFont="1" applyBorder="1" applyAlignment="1" applyProtection="1">
      <alignment horizontal="left" vertical="center"/>
      <protection hidden="1"/>
    </xf>
    <xf numFmtId="0" fontId="18" fillId="0" borderId="16" xfId="0" applyFont="1" applyBorder="1" applyAlignment="1" applyProtection="1">
      <alignment horizontal="center" vertical="center"/>
      <protection hidden="1"/>
    </xf>
    <xf numFmtId="0" fontId="13" fillId="0" borderId="2" xfId="0" applyFont="1" applyBorder="1" applyAlignment="1" applyProtection="1">
      <alignment horizontal="left" vertical="center"/>
      <protection hidden="1"/>
    </xf>
    <xf numFmtId="0" fontId="13" fillId="0" borderId="11" xfId="0" applyFont="1" applyBorder="1" applyProtection="1">
      <protection hidden="1"/>
    </xf>
    <xf numFmtId="3" fontId="13" fillId="0" borderId="5" xfId="0" applyNumberFormat="1" applyFont="1" applyBorder="1" applyAlignment="1" applyProtection="1">
      <alignment horizontal="right" vertical="center"/>
      <protection hidden="1"/>
    </xf>
    <xf numFmtId="0" fontId="13" fillId="0" borderId="5" xfId="0" applyFont="1" applyBorder="1" applyAlignment="1" applyProtection="1">
      <alignment horizontal="right" vertical="center"/>
      <protection hidden="1"/>
    </xf>
    <xf numFmtId="3" fontId="97" fillId="0" borderId="5" xfId="0" applyNumberFormat="1" applyFont="1" applyBorder="1" applyAlignment="1" applyProtection="1">
      <alignment horizontal="right" vertical="center"/>
      <protection hidden="1"/>
    </xf>
    <xf numFmtId="3" fontId="13" fillId="0" borderId="17" xfId="0" applyNumberFormat="1" applyFont="1" applyBorder="1" applyAlignment="1" applyProtection="1">
      <alignment horizontal="right" vertical="center"/>
      <protection hidden="1"/>
    </xf>
    <xf numFmtId="165" fontId="13" fillId="0" borderId="81" xfId="0" applyNumberFormat="1" applyFont="1" applyBorder="1" applyAlignment="1" applyProtection="1">
      <alignment horizontal="center" vertical="center"/>
      <protection hidden="1"/>
    </xf>
    <xf numFmtId="165" fontId="13" fillId="0" borderId="221" xfId="0" applyNumberFormat="1" applyFont="1" applyBorder="1" applyAlignment="1" applyProtection="1">
      <alignment horizontal="center" vertical="center"/>
      <protection hidden="1"/>
    </xf>
    <xf numFmtId="165" fontId="13" fillId="0" borderId="47" xfId="0" applyNumberFormat="1" applyFont="1" applyBorder="1" applyAlignment="1" applyProtection="1">
      <alignment horizontal="center" vertical="center"/>
      <protection hidden="1"/>
    </xf>
    <xf numFmtId="0" fontId="13" fillId="8" borderId="51" xfId="0" applyFont="1" applyFill="1" applyBorder="1" applyAlignment="1" applyProtection="1">
      <alignment vertical="center"/>
      <protection hidden="1"/>
    </xf>
    <xf numFmtId="0" fontId="13" fillId="2" borderId="222" xfId="0" applyFont="1" applyFill="1" applyBorder="1" applyAlignment="1" applyProtection="1">
      <alignment horizontal="center" vertical="center"/>
      <protection hidden="1"/>
    </xf>
    <xf numFmtId="0" fontId="11" fillId="2" borderId="70" xfId="0" applyFont="1" applyFill="1" applyBorder="1" applyAlignment="1" applyProtection="1">
      <alignment horizontal="center" vertical="center"/>
      <protection hidden="1"/>
    </xf>
    <xf numFmtId="0" fontId="18" fillId="2" borderId="117" xfId="0" applyFont="1" applyFill="1" applyBorder="1" applyAlignment="1" applyProtection="1">
      <alignment horizontal="center" vertical="center"/>
      <protection hidden="1"/>
    </xf>
    <xf numFmtId="0" fontId="18" fillId="2" borderId="118" xfId="0" applyFont="1" applyFill="1" applyBorder="1" applyAlignment="1" applyProtection="1">
      <alignment horizontal="center" vertical="center"/>
      <protection hidden="1"/>
    </xf>
    <xf numFmtId="0" fontId="11" fillId="2" borderId="110" xfId="0" applyFont="1" applyFill="1" applyBorder="1" applyAlignment="1" applyProtection="1">
      <alignment horizontal="center" vertical="center"/>
      <protection hidden="1"/>
    </xf>
    <xf numFmtId="0" fontId="11" fillId="2" borderId="117" xfId="0" applyFont="1" applyFill="1" applyBorder="1" applyAlignment="1" applyProtection="1">
      <alignment horizontal="center" vertical="center"/>
      <protection hidden="1"/>
    </xf>
    <xf numFmtId="0" fontId="11" fillId="2" borderId="118" xfId="0" applyFont="1" applyFill="1" applyBorder="1" applyAlignment="1" applyProtection="1">
      <alignment horizontal="center" vertical="center"/>
      <protection hidden="1"/>
    </xf>
    <xf numFmtId="0" fontId="11" fillId="2" borderId="135" xfId="0" applyFont="1" applyFill="1" applyBorder="1" applyAlignment="1" applyProtection="1">
      <alignment horizontal="center" vertical="center"/>
      <protection hidden="1"/>
    </xf>
    <xf numFmtId="0" fontId="11" fillId="2" borderId="132" xfId="0" applyFont="1" applyFill="1" applyBorder="1" applyAlignment="1" applyProtection="1">
      <alignment horizontal="center" vertical="center"/>
      <protection hidden="1"/>
    </xf>
    <xf numFmtId="0" fontId="250" fillId="0" borderId="2" xfId="0" applyFont="1" applyBorder="1" applyAlignment="1" applyProtection="1">
      <alignment horizontal="left" vertical="center"/>
      <protection hidden="1"/>
    </xf>
    <xf numFmtId="0" fontId="13" fillId="7" borderId="7" xfId="0" applyFont="1" applyFill="1" applyBorder="1" applyAlignment="1">
      <alignment horizontal="center" vertical="center"/>
    </xf>
    <xf numFmtId="0" fontId="11" fillId="7" borderId="8" xfId="0" applyFont="1" applyFill="1" applyBorder="1" applyAlignment="1">
      <alignment vertical="center"/>
    </xf>
    <xf numFmtId="0" fontId="11" fillId="7" borderId="110" xfId="0" applyFont="1" applyFill="1" applyBorder="1" applyAlignment="1">
      <alignment horizontal="center" vertical="center"/>
    </xf>
    <xf numFmtId="0" fontId="11" fillId="7" borderId="118" xfId="0" applyFont="1" applyFill="1" applyBorder="1" applyAlignment="1">
      <alignment horizontal="center" vertical="center"/>
    </xf>
    <xf numFmtId="0" fontId="97" fillId="7" borderId="118" xfId="0" applyFont="1" applyFill="1" applyBorder="1" applyAlignment="1">
      <alignment horizontal="center" vertical="center"/>
    </xf>
    <xf numFmtId="0" fontId="11" fillId="7" borderId="132" xfId="0" applyFont="1" applyFill="1" applyBorder="1" applyAlignment="1">
      <alignment horizontal="center" vertical="center"/>
    </xf>
    <xf numFmtId="0" fontId="11" fillId="7" borderId="117" xfId="0" applyFont="1" applyFill="1" applyBorder="1" applyAlignment="1">
      <alignment horizontal="center" vertical="center"/>
    </xf>
    <xf numFmtId="0" fontId="13" fillId="7" borderId="6" xfId="0" applyFont="1" applyFill="1" applyBorder="1" applyAlignment="1">
      <alignment horizontal="center" vertical="center"/>
    </xf>
    <xf numFmtId="0" fontId="11" fillId="7" borderId="9" xfId="0" applyFont="1" applyFill="1" applyBorder="1" applyAlignment="1">
      <alignment horizontal="center" vertical="center"/>
    </xf>
    <xf numFmtId="0" fontId="11" fillId="7" borderId="70" xfId="0" applyFont="1" applyFill="1" applyBorder="1" applyAlignment="1">
      <alignment horizontal="center" vertical="center"/>
    </xf>
    <xf numFmtId="0" fontId="13" fillId="7" borderId="9" xfId="0" applyFont="1" applyFill="1" applyBorder="1" applyAlignment="1">
      <alignment horizontal="center" vertical="center"/>
    </xf>
    <xf numFmtId="0" fontId="11" fillId="7" borderId="153" xfId="0" applyFont="1" applyFill="1" applyBorder="1" applyAlignment="1">
      <alignment horizontal="center" vertical="center"/>
    </xf>
    <xf numFmtId="0" fontId="11" fillId="7" borderId="135" xfId="0" applyFont="1" applyFill="1" applyBorder="1" applyAlignment="1">
      <alignment horizontal="center" vertical="center"/>
    </xf>
    <xf numFmtId="0" fontId="11" fillId="7" borderId="154" xfId="0" applyFont="1" applyFill="1" applyBorder="1" applyAlignment="1">
      <alignment horizontal="center" vertical="center"/>
    </xf>
    <xf numFmtId="0" fontId="11" fillId="7" borderId="79" xfId="0" applyFont="1" applyFill="1" applyBorder="1" applyAlignment="1" applyProtection="1">
      <alignment horizontal="center" vertical="center"/>
      <protection hidden="1"/>
    </xf>
    <xf numFmtId="0" fontId="11" fillId="7" borderId="118" xfId="0" applyFont="1" applyFill="1" applyBorder="1" applyAlignment="1" applyProtection="1">
      <alignment horizontal="center" vertical="center"/>
      <protection hidden="1"/>
    </xf>
    <xf numFmtId="0" fontId="13" fillId="0" borderId="91" xfId="0" applyFont="1" applyBorder="1" applyAlignment="1" applyProtection="1">
      <alignment horizontal="left" vertical="center"/>
      <protection hidden="1"/>
    </xf>
    <xf numFmtId="0" fontId="11" fillId="0" borderId="183" xfId="0" applyFont="1" applyBorder="1" applyAlignment="1">
      <alignment vertical="center"/>
    </xf>
    <xf numFmtId="0" fontId="11" fillId="0" borderId="167" xfId="0" applyFont="1" applyBorder="1" applyAlignment="1">
      <alignment vertical="center"/>
    </xf>
    <xf numFmtId="0" fontId="11" fillId="0" borderId="183" xfId="0" applyFont="1" applyBorder="1" applyAlignment="1">
      <alignment horizontal="center" vertical="center"/>
    </xf>
    <xf numFmtId="0" fontId="11" fillId="7" borderId="0" xfId="0" applyFont="1" applyFill="1" applyAlignment="1" applyProtection="1">
      <alignment horizontal="center"/>
      <protection hidden="1"/>
    </xf>
    <xf numFmtId="0" fontId="101" fillId="7" borderId="0" xfId="0" applyFont="1" applyFill="1" applyAlignment="1" applyProtection="1">
      <alignment horizontal="center"/>
      <protection hidden="1"/>
    </xf>
    <xf numFmtId="0" fontId="11" fillId="7" borderId="0" xfId="0" applyFont="1" applyFill="1" applyAlignment="1">
      <alignment horizontal="center"/>
    </xf>
    <xf numFmtId="0" fontId="11" fillId="7" borderId="2" xfId="0" applyFont="1" applyFill="1" applyBorder="1"/>
    <xf numFmtId="0" fontId="11" fillId="18" borderId="6" xfId="0" applyFont="1" applyFill="1" applyBorder="1" applyAlignment="1" applyProtection="1">
      <alignment vertical="center"/>
      <protection hidden="1"/>
    </xf>
    <xf numFmtId="0" fontId="11" fillId="18" borderId="5" xfId="0" applyFont="1" applyFill="1" applyBorder="1"/>
    <xf numFmtId="0" fontId="251" fillId="0" borderId="0" xfId="0" applyFont="1" applyProtection="1">
      <protection hidden="1"/>
    </xf>
    <xf numFmtId="0" fontId="11" fillId="0" borderId="16" xfId="0" applyFont="1" applyBorder="1" applyAlignment="1">
      <alignment horizontal="centerContinuous"/>
    </xf>
    <xf numFmtId="1" fontId="11" fillId="0" borderId="0" xfId="0" applyNumberFormat="1" applyFont="1"/>
    <xf numFmtId="0" fontId="252" fillId="0" borderId="0" xfId="0" applyFont="1" applyAlignment="1" applyProtection="1">
      <alignment vertical="center"/>
      <protection hidden="1"/>
    </xf>
    <xf numFmtId="0" fontId="249" fillId="0" borderId="0" xfId="0" applyFont="1" applyAlignment="1" applyProtection="1">
      <alignment horizontal="center" vertical="center"/>
      <protection hidden="1"/>
    </xf>
    <xf numFmtId="0" fontId="15" fillId="7" borderId="0" xfId="0" applyFont="1" applyFill="1" applyAlignment="1" applyProtection="1">
      <alignment horizontal="center" vertical="center"/>
      <protection hidden="1"/>
    </xf>
    <xf numFmtId="0" fontId="12" fillId="7" borderId="0" xfId="0" applyFont="1" applyFill="1" applyAlignment="1" applyProtection="1">
      <alignment vertical="center"/>
      <protection hidden="1"/>
    </xf>
    <xf numFmtId="0" fontId="15" fillId="7" borderId="0" xfId="0" applyFont="1" applyFill="1" applyAlignment="1" applyProtection="1">
      <alignment vertical="center"/>
      <protection hidden="1"/>
    </xf>
    <xf numFmtId="1" fontId="9" fillId="7" borderId="0" xfId="0" applyNumberFormat="1" applyFont="1" applyFill="1" applyProtection="1">
      <protection hidden="1"/>
    </xf>
    <xf numFmtId="1" fontId="8" fillId="7" borderId="0" xfId="0" applyNumberFormat="1" applyFont="1" applyFill="1" applyProtection="1">
      <protection hidden="1"/>
    </xf>
    <xf numFmtId="1" fontId="6" fillId="7" borderId="0" xfId="0" applyNumberFormat="1" applyFont="1" applyFill="1" applyProtection="1">
      <protection hidden="1"/>
    </xf>
    <xf numFmtId="0" fontId="15" fillId="0" borderId="223" xfId="0" applyFont="1" applyBorder="1" applyAlignment="1" applyProtection="1">
      <alignment vertical="center"/>
      <protection hidden="1"/>
    </xf>
    <xf numFmtId="0" fontId="12" fillId="0" borderId="223" xfId="0" applyFont="1" applyBorder="1" applyAlignment="1">
      <alignment vertical="center"/>
    </xf>
    <xf numFmtId="0" fontId="15" fillId="0" borderId="223" xfId="0" applyFont="1" applyBorder="1" applyAlignment="1" applyProtection="1">
      <alignment vertical="center"/>
      <protection locked="0" hidden="1"/>
    </xf>
    <xf numFmtId="0" fontId="6" fillId="7" borderId="0" xfId="0" applyFont="1" applyFill="1" applyAlignment="1">
      <alignment vertical="center"/>
    </xf>
    <xf numFmtId="0" fontId="12" fillId="7" borderId="0" xfId="0" applyFont="1" applyFill="1" applyAlignment="1">
      <alignment vertical="center"/>
    </xf>
    <xf numFmtId="0" fontId="11" fillId="7" borderId="0" xfId="0" applyFont="1" applyFill="1" applyAlignment="1">
      <alignment vertical="center"/>
    </xf>
    <xf numFmtId="168" fontId="17" fillId="7" borderId="0" xfId="0" applyNumberFormat="1" applyFont="1" applyFill="1" applyAlignment="1">
      <alignment vertical="center"/>
    </xf>
    <xf numFmtId="0" fontId="16" fillId="7" borderId="0" xfId="0" applyFont="1" applyFill="1"/>
    <xf numFmtId="0" fontId="118" fillId="7" borderId="0" xfId="0" applyFont="1" applyFill="1" applyAlignment="1">
      <alignment vertical="center"/>
    </xf>
    <xf numFmtId="0" fontId="22" fillId="7" borderId="0" xfId="0" applyFont="1" applyFill="1" applyAlignment="1">
      <alignment vertical="center"/>
    </xf>
    <xf numFmtId="0" fontId="6" fillId="7" borderId="0" xfId="0" applyFont="1" applyFill="1"/>
    <xf numFmtId="0" fontId="254" fillId="0" borderId="0" xfId="0" applyFont="1" applyAlignment="1">
      <alignment vertical="center"/>
    </xf>
    <xf numFmtId="0" fontId="11" fillId="12" borderId="118" xfId="0" applyFont="1" applyFill="1" applyBorder="1" applyAlignment="1" applyProtection="1">
      <alignment vertical="center"/>
      <protection locked="0" hidden="1"/>
    </xf>
    <xf numFmtId="174" fontId="144" fillId="12" borderId="39" xfId="5" applyNumberFormat="1" applyFont="1" applyFill="1" applyBorder="1"/>
    <xf numFmtId="165" fontId="144" fillId="12" borderId="0" xfId="5" quotePrefix="1" applyNumberFormat="1" applyFont="1" applyFill="1"/>
    <xf numFmtId="176" fontId="144" fillId="12" borderId="0" xfId="5" applyNumberFormat="1" applyFont="1" applyFill="1" applyAlignment="1">
      <alignment horizontal="left"/>
    </xf>
    <xf numFmtId="177" fontId="144" fillId="12" borderId="0" xfId="5" applyNumberFormat="1" applyFont="1" applyFill="1" applyAlignment="1">
      <alignment horizontal="left"/>
    </xf>
    <xf numFmtId="180" fontId="6" fillId="0" borderId="8" xfId="6" applyNumberFormat="1" applyFont="1" applyBorder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vertical="center"/>
      <protection locked="0"/>
    </xf>
    <xf numFmtId="0" fontId="11" fillId="0" borderId="0" xfId="6" applyNumberFormat="1" applyFont="1" applyAlignment="1" applyProtection="1">
      <alignment vertical="center"/>
      <protection hidden="1"/>
    </xf>
    <xf numFmtId="0" fontId="135" fillId="0" borderId="15" xfId="0" applyFont="1" applyBorder="1" applyAlignment="1">
      <alignment horizontal="centerContinuous" vertical="center"/>
    </xf>
    <xf numFmtId="0" fontId="135" fillId="0" borderId="1" xfId="0" applyFont="1" applyBorder="1" applyAlignment="1">
      <alignment horizontal="left" vertical="center"/>
    </xf>
    <xf numFmtId="165" fontId="6" fillId="3" borderId="4" xfId="0" applyNumberFormat="1" applyFont="1" applyFill="1" applyBorder="1" applyAlignment="1" applyProtection="1">
      <alignment vertical="center"/>
      <protection locked="0"/>
    </xf>
    <xf numFmtId="1" fontId="6" fillId="3" borderId="47" xfId="0" applyNumberFormat="1" applyFont="1" applyFill="1" applyBorder="1" applyAlignment="1" applyProtection="1">
      <alignment horizontal="center" vertical="center"/>
      <protection locked="0"/>
    </xf>
    <xf numFmtId="1" fontId="10" fillId="3" borderId="6" xfId="0" applyNumberFormat="1" applyFont="1" applyFill="1" applyBorder="1" applyAlignment="1" applyProtection="1">
      <alignment horizontal="center" vertical="center"/>
      <protection locked="0"/>
    </xf>
    <xf numFmtId="165" fontId="6" fillId="3" borderId="6" xfId="0" applyNumberFormat="1" applyFont="1" applyFill="1" applyBorder="1" applyAlignment="1" applyProtection="1">
      <alignment vertical="center"/>
      <protection locked="0"/>
    </xf>
    <xf numFmtId="49" fontId="255" fillId="0" borderId="0" xfId="0" quotePrefix="1" applyNumberFormat="1" applyFont="1" applyAlignment="1" applyProtection="1">
      <alignment vertical="center"/>
      <protection hidden="1"/>
    </xf>
    <xf numFmtId="165" fontId="135" fillId="0" borderId="0" xfId="6" applyFont="1" applyAlignment="1" applyProtection="1">
      <alignment vertical="center"/>
      <protection hidden="1"/>
    </xf>
    <xf numFmtId="0" fontId="256" fillId="0" borderId="0" xfId="0" applyFont="1" applyAlignment="1" applyProtection="1">
      <alignment vertical="center"/>
      <protection hidden="1"/>
    </xf>
    <xf numFmtId="0" fontId="83" fillId="0" borderId="0" xfId="0" applyFont="1" applyAlignment="1">
      <alignment horizontal="left" vertical="center"/>
    </xf>
    <xf numFmtId="2" fontId="257" fillId="0" borderId="0" xfId="0" applyNumberFormat="1" applyFont="1" applyAlignment="1" applyProtection="1">
      <alignment horizontal="center" vertical="center"/>
      <protection hidden="1"/>
    </xf>
    <xf numFmtId="2" fontId="6" fillId="0" borderId="0" xfId="0" applyNumberFormat="1" applyFont="1" applyAlignment="1" applyProtection="1">
      <alignment vertical="center"/>
      <protection hidden="1"/>
    </xf>
    <xf numFmtId="0" fontId="258" fillId="0" borderId="9" xfId="0" applyFont="1" applyBorder="1"/>
    <xf numFmtId="0" fontId="258" fillId="0" borderId="8" xfId="0" applyFont="1" applyBorder="1" applyAlignment="1">
      <alignment horizontal="center"/>
    </xf>
    <xf numFmtId="0" fontId="258" fillId="0" borderId="9" xfId="0" applyFont="1" applyBorder="1" applyAlignment="1">
      <alignment horizontal="center"/>
    </xf>
    <xf numFmtId="0" fontId="258" fillId="7" borderId="9" xfId="0" applyFont="1" applyFill="1" applyBorder="1" applyAlignment="1">
      <alignment horizontal="center"/>
    </xf>
    <xf numFmtId="0" fontId="259" fillId="0" borderId="0" xfId="0" applyFont="1" applyAlignment="1" applyProtection="1">
      <alignment vertical="center"/>
      <protection hidden="1"/>
    </xf>
    <xf numFmtId="0" fontId="259" fillId="0" borderId="14" xfId="0" applyFont="1" applyBorder="1" applyAlignment="1" applyProtection="1">
      <alignment horizontal="center" vertical="center"/>
      <protection hidden="1"/>
    </xf>
    <xf numFmtId="0" fontId="259" fillId="0" borderId="0" xfId="0" applyFont="1" applyAlignment="1" applyProtection="1">
      <alignment horizontal="center" vertical="center"/>
      <protection hidden="1"/>
    </xf>
    <xf numFmtId="49" fontId="13" fillId="3" borderId="1" xfId="0" quotePrefix="1" applyNumberFormat="1" applyFont="1" applyFill="1" applyBorder="1" applyAlignment="1" applyProtection="1">
      <alignment vertical="center"/>
      <protection hidden="1"/>
    </xf>
    <xf numFmtId="49" fontId="11" fillId="3" borderId="13" xfId="0" applyNumberFormat="1" applyFont="1" applyFill="1" applyBorder="1" applyAlignment="1" applyProtection="1">
      <alignment vertical="center"/>
      <protection hidden="1"/>
    </xf>
    <xf numFmtId="49" fontId="11" fillId="3" borderId="13" xfId="0" applyNumberFormat="1" applyFont="1" applyFill="1" applyBorder="1" applyProtection="1">
      <protection hidden="1"/>
    </xf>
    <xf numFmtId="49" fontId="12" fillId="3" borderId="13" xfId="0" applyNumberFormat="1" applyFont="1" applyFill="1" applyBorder="1" applyAlignment="1" applyProtection="1">
      <alignment vertical="center"/>
      <protection hidden="1"/>
    </xf>
    <xf numFmtId="49" fontId="0" fillId="3" borderId="13" xfId="0" applyNumberFormat="1" applyFill="1" applyBorder="1" applyProtection="1">
      <protection hidden="1"/>
    </xf>
    <xf numFmtId="0" fontId="0" fillId="3" borderId="13" xfId="0" applyFill="1" applyBorder="1" applyProtection="1">
      <protection hidden="1"/>
    </xf>
    <xf numFmtId="49" fontId="6" fillId="3" borderId="15" xfId="0" applyNumberFormat="1" applyFont="1" applyFill="1" applyBorder="1" applyAlignment="1" applyProtection="1">
      <alignment vertical="center"/>
      <protection hidden="1"/>
    </xf>
    <xf numFmtId="49" fontId="13" fillId="3" borderId="11" xfId="0" applyNumberFormat="1" applyFont="1" applyFill="1" applyBorder="1" applyAlignment="1" applyProtection="1">
      <alignment vertical="center"/>
      <protection hidden="1"/>
    </xf>
    <xf numFmtId="49" fontId="136" fillId="3" borderId="14" xfId="0" applyNumberFormat="1" applyFont="1" applyFill="1" applyBorder="1" applyAlignment="1" applyProtection="1">
      <alignment vertical="center"/>
      <protection hidden="1"/>
    </xf>
    <xf numFmtId="49" fontId="0" fillId="3" borderId="14" xfId="0" applyNumberFormat="1" applyFill="1" applyBorder="1" applyProtection="1">
      <protection hidden="1"/>
    </xf>
    <xf numFmtId="49" fontId="43" fillId="3" borderId="14" xfId="0" applyNumberFormat="1" applyFont="1" applyFill="1" applyBorder="1" applyAlignment="1" applyProtection="1">
      <alignment vertical="center"/>
      <protection hidden="1"/>
    </xf>
    <xf numFmtId="49" fontId="11" fillId="3" borderId="14" xfId="0" applyNumberFormat="1" applyFont="1" applyFill="1" applyBorder="1" applyAlignment="1" applyProtection="1">
      <alignment vertical="center"/>
      <protection hidden="1"/>
    </xf>
    <xf numFmtId="49" fontId="6" fillId="3" borderId="12" xfId="0" applyNumberFormat="1" applyFont="1" applyFill="1" applyBorder="1" applyAlignment="1" applyProtection="1">
      <alignment vertical="center"/>
      <protection hidden="1"/>
    </xf>
    <xf numFmtId="0" fontId="260" fillId="0" borderId="0" xfId="0" applyFont="1" applyAlignment="1" applyProtection="1">
      <alignment vertical="center"/>
      <protection hidden="1"/>
    </xf>
    <xf numFmtId="0" fontId="261" fillId="0" borderId="0" xfId="0" applyFont="1" applyAlignment="1" applyProtection="1">
      <alignment vertical="top"/>
      <protection hidden="1"/>
    </xf>
    <xf numFmtId="165" fontId="135" fillId="0" borderId="0" xfId="6" applyFont="1" applyAlignment="1" applyProtection="1">
      <alignment horizontal="center"/>
      <protection hidden="1"/>
    </xf>
    <xf numFmtId="165" fontId="169" fillId="0" borderId="0" xfId="6" applyFont="1" applyAlignment="1" applyProtection="1">
      <alignment horizontal="right" vertical="top"/>
      <protection hidden="1"/>
    </xf>
    <xf numFmtId="165" fontId="135" fillId="0" borderId="0" xfId="6" applyFont="1" applyAlignment="1" applyProtection="1">
      <alignment horizontal="left"/>
      <protection hidden="1"/>
    </xf>
    <xf numFmtId="0" fontId="6" fillId="3" borderId="224" xfId="0" applyFont="1" applyFill="1" applyBorder="1" applyAlignment="1">
      <alignment vertical="center"/>
    </xf>
    <xf numFmtId="0" fontId="6" fillId="3" borderId="20" xfId="0" applyFont="1" applyFill="1" applyBorder="1" applyAlignment="1">
      <alignment vertical="center"/>
    </xf>
    <xf numFmtId="168" fontId="17" fillId="3" borderId="20" xfId="0" applyNumberFormat="1" applyFont="1" applyFill="1" applyBorder="1" applyAlignment="1">
      <alignment vertical="center"/>
    </xf>
    <xf numFmtId="0" fontId="11" fillId="3" borderId="20" xfId="0" applyFont="1" applyFill="1" applyBorder="1" applyAlignment="1">
      <alignment vertical="center"/>
    </xf>
    <xf numFmtId="0" fontId="11" fillId="3" borderId="224" xfId="0" applyFont="1" applyFill="1" applyBorder="1" applyAlignment="1">
      <alignment vertical="center"/>
    </xf>
    <xf numFmtId="2" fontId="233" fillId="0" borderId="0" xfId="0" applyNumberFormat="1" applyFont="1" applyAlignment="1" applyProtection="1">
      <alignment vertical="center"/>
      <protection hidden="1"/>
    </xf>
    <xf numFmtId="2" fontId="233" fillId="0" borderId="225" xfId="0" applyNumberFormat="1" applyFont="1" applyBorder="1" applyAlignment="1" applyProtection="1">
      <alignment vertical="center"/>
      <protection hidden="1"/>
    </xf>
    <xf numFmtId="2" fontId="233" fillId="0" borderId="226" xfId="0" applyNumberFormat="1" applyFont="1" applyBorder="1" applyAlignment="1" applyProtection="1">
      <alignment vertical="center"/>
      <protection hidden="1"/>
    </xf>
    <xf numFmtId="0" fontId="178" fillId="0" borderId="0" xfId="0" quotePrefix="1" applyFont="1" applyAlignment="1" applyProtection="1">
      <alignment vertical="center"/>
      <protection hidden="1"/>
    </xf>
    <xf numFmtId="2" fontId="15" fillId="0" borderId="0" xfId="0" applyNumberFormat="1" applyFont="1" applyAlignment="1" applyProtection="1">
      <alignment horizontal="right"/>
      <protection hidden="1"/>
    </xf>
    <xf numFmtId="2" fontId="262" fillId="0" borderId="0" xfId="6" applyNumberFormat="1" applyFont="1" applyAlignment="1" applyProtection="1">
      <alignment horizontal="right" vertical="center"/>
      <protection hidden="1"/>
    </xf>
    <xf numFmtId="165" fontId="263" fillId="0" borderId="0" xfId="6" applyFont="1" applyAlignment="1" applyProtection="1">
      <alignment horizontal="right" vertical="center"/>
      <protection hidden="1"/>
    </xf>
    <xf numFmtId="2" fontId="264" fillId="0" borderId="0" xfId="6" applyNumberFormat="1" applyFont="1" applyAlignment="1" applyProtection="1">
      <alignment horizontal="right" vertical="center"/>
      <protection hidden="1"/>
    </xf>
    <xf numFmtId="2" fontId="54" fillId="0" borderId="0" xfId="0" applyNumberFormat="1" applyFont="1" applyAlignment="1" applyProtection="1">
      <alignment horizontal="center"/>
      <protection hidden="1"/>
    </xf>
    <xf numFmtId="2" fontId="265" fillId="0" borderId="0" xfId="6" applyNumberFormat="1" applyFont="1" applyAlignment="1" applyProtection="1">
      <alignment horizontal="center" vertical="center"/>
      <protection hidden="1"/>
    </xf>
    <xf numFmtId="0" fontId="97" fillId="0" borderId="0" xfId="5" applyFont="1" applyAlignment="1">
      <alignment horizontal="center" vertical="center"/>
    </xf>
    <xf numFmtId="0" fontId="97" fillId="0" borderId="14" xfId="5" applyFont="1" applyBorder="1" applyAlignment="1">
      <alignment horizontal="center"/>
    </xf>
    <xf numFmtId="2" fontId="97" fillId="12" borderId="0" xfId="5" applyNumberFormat="1" applyFont="1" applyFill="1" applyAlignment="1">
      <alignment horizontal="center" vertical="center"/>
    </xf>
    <xf numFmtId="2" fontId="97" fillId="0" borderId="0" xfId="5" applyNumberFormat="1" applyFont="1" applyAlignment="1">
      <alignment horizontal="center" vertical="center"/>
    </xf>
    <xf numFmtId="2" fontId="97" fillId="0" borderId="14" xfId="5" applyNumberFormat="1" applyFont="1" applyBorder="1" applyAlignment="1">
      <alignment horizontal="center" vertical="center"/>
    </xf>
    <xf numFmtId="2" fontId="97" fillId="12" borderId="14" xfId="5" applyNumberFormat="1" applyFont="1" applyFill="1" applyBorder="1" applyAlignment="1">
      <alignment horizontal="center" vertical="center"/>
    </xf>
    <xf numFmtId="0" fontId="97" fillId="0" borderId="14" xfId="5" applyFont="1" applyBorder="1" applyAlignment="1">
      <alignment horizontal="center" vertical="center"/>
    </xf>
    <xf numFmtId="0" fontId="97" fillId="0" borderId="11" xfId="5" applyFont="1" applyBorder="1" applyAlignment="1">
      <alignment horizontal="center" vertical="center"/>
    </xf>
    <xf numFmtId="0" fontId="97" fillId="0" borderId="109" xfId="5" applyFont="1" applyBorder="1" applyAlignment="1">
      <alignment horizontal="center" vertical="center"/>
    </xf>
    <xf numFmtId="0" fontId="97" fillId="12" borderId="109" xfId="5" applyFont="1" applyFill="1" applyBorder="1" applyAlignment="1">
      <alignment horizontal="center" vertical="center"/>
    </xf>
    <xf numFmtId="0" fontId="106" fillId="0" borderId="2" xfId="5" applyFont="1" applyBorder="1" applyAlignment="1">
      <alignment horizontal="center"/>
    </xf>
    <xf numFmtId="0" fontId="106" fillId="0" borderId="8" xfId="5" applyFont="1" applyBorder="1" applyAlignment="1">
      <alignment horizontal="center" vertical="center"/>
    </xf>
    <xf numFmtId="0" fontId="97" fillId="0" borderId="0" xfId="5" applyFont="1" applyAlignment="1">
      <alignment vertical="top"/>
    </xf>
    <xf numFmtId="0" fontId="83" fillId="0" borderId="129" xfId="5" applyFont="1" applyBorder="1" applyAlignment="1">
      <alignment horizontal="center" vertical="center"/>
    </xf>
    <xf numFmtId="0" fontId="144" fillId="0" borderId="0" xfId="5" applyFont="1" applyAlignment="1">
      <alignment horizontal="centerContinuous"/>
    </xf>
    <xf numFmtId="0" fontId="97" fillId="0" borderId="14" xfId="5" applyFont="1" applyBorder="1" applyAlignment="1">
      <alignment vertical="center"/>
    </xf>
    <xf numFmtId="0" fontId="144" fillId="0" borderId="14" xfId="5" applyFont="1" applyBorder="1" applyAlignment="1">
      <alignment horizontal="centerContinuous" vertical="center"/>
    </xf>
    <xf numFmtId="0" fontId="144" fillId="0" borderId="14" xfId="5" applyFont="1" applyBorder="1" applyAlignment="1">
      <alignment horizontal="right" vertical="center"/>
    </xf>
    <xf numFmtId="0" fontId="220" fillId="0" borderId="0" xfId="5" applyFont="1"/>
    <xf numFmtId="0" fontId="144" fillId="0" borderId="0" xfId="5" applyFont="1"/>
    <xf numFmtId="20" fontId="97" fillId="0" borderId="0" xfId="5" quotePrefix="1" applyNumberFormat="1" applyFont="1" applyAlignment="1">
      <alignment horizontal="right" vertical="center"/>
    </xf>
    <xf numFmtId="0" fontId="97" fillId="0" borderId="0" xfId="5" applyFont="1" applyAlignment="1">
      <alignment horizontal="left" vertical="center"/>
    </xf>
    <xf numFmtId="0" fontId="97" fillId="13" borderId="0" xfId="5" applyFont="1" applyFill="1" applyAlignment="1" applyProtection="1">
      <alignment horizontal="left"/>
      <protection locked="0"/>
    </xf>
    <xf numFmtId="20" fontId="97" fillId="0" borderId="14" xfId="5" quotePrefix="1" applyNumberFormat="1" applyFont="1" applyBorder="1" applyAlignment="1">
      <alignment horizontal="right"/>
    </xf>
    <xf numFmtId="0" fontId="97" fillId="13" borderId="14" xfId="5" applyFont="1" applyFill="1" applyBorder="1" applyAlignment="1" applyProtection="1">
      <alignment horizontal="left"/>
      <protection locked="0"/>
    </xf>
    <xf numFmtId="0" fontId="97" fillId="0" borderId="5" xfId="5" applyFont="1" applyBorder="1" applyAlignment="1">
      <alignment vertical="center"/>
    </xf>
    <xf numFmtId="0" fontId="97" fillId="0" borderId="14" xfId="5" applyFont="1" applyBorder="1"/>
    <xf numFmtId="0" fontId="97" fillId="0" borderId="13" xfId="5" applyFont="1" applyBorder="1"/>
    <xf numFmtId="0" fontId="144" fillId="0" borderId="0" xfId="5" applyFont="1" applyAlignment="1">
      <alignment horizontal="centerContinuous" vertical="center"/>
    </xf>
    <xf numFmtId="0" fontId="144" fillId="0" borderId="0" xfId="5" applyFont="1" applyAlignment="1">
      <alignment horizontal="right" vertical="center"/>
    </xf>
    <xf numFmtId="0" fontId="220" fillId="0" borderId="0" xfId="5" applyFont="1" applyAlignment="1">
      <alignment vertical="center"/>
    </xf>
    <xf numFmtId="0" fontId="9" fillId="0" borderId="0" xfId="5" quotePrefix="1" applyFont="1" applyAlignment="1">
      <alignment vertical="center"/>
    </xf>
    <xf numFmtId="0" fontId="9" fillId="0" borderId="0" xfId="5" applyFont="1" applyAlignment="1">
      <alignment vertical="center"/>
    </xf>
    <xf numFmtId="0" fontId="144" fillId="0" borderId="2" xfId="5" applyFont="1" applyBorder="1" applyAlignment="1">
      <alignment horizontal="centerContinuous" vertical="top"/>
    </xf>
    <xf numFmtId="0" fontId="97" fillId="0" borderId="16" xfId="5" applyFont="1" applyBorder="1" applyAlignment="1">
      <alignment horizontal="centerContinuous"/>
    </xf>
    <xf numFmtId="0" fontId="97" fillId="0" borderId="108" xfId="5" applyFont="1" applyBorder="1" applyAlignment="1">
      <alignment horizontal="center" vertical="center"/>
    </xf>
    <xf numFmtId="0" fontId="97" fillId="0" borderId="45" xfId="5" applyFont="1" applyBorder="1" applyAlignment="1">
      <alignment horizontal="center" vertical="center"/>
    </xf>
    <xf numFmtId="0" fontId="144" fillId="0" borderId="2" xfId="5" applyFont="1" applyBorder="1" applyAlignment="1">
      <alignment horizontal="centerContinuous"/>
    </xf>
    <xf numFmtId="2" fontId="242" fillId="0" borderId="226" xfId="0" applyNumberFormat="1" applyFont="1" applyBorder="1" applyAlignment="1" applyProtection="1">
      <alignment vertical="center"/>
      <protection hidden="1"/>
    </xf>
    <xf numFmtId="2" fontId="262" fillId="0" borderId="0" xfId="6" applyNumberFormat="1" applyFont="1" applyAlignment="1" applyProtection="1">
      <alignment horizontal="left" vertical="center"/>
      <protection hidden="1"/>
    </xf>
    <xf numFmtId="165" fontId="135" fillId="0" borderId="227" xfId="6" applyFont="1" applyBorder="1" applyAlignment="1" applyProtection="1">
      <alignment vertical="center"/>
      <protection hidden="1"/>
    </xf>
    <xf numFmtId="165" fontId="18" fillId="0" borderId="228" xfId="6" applyFont="1" applyBorder="1" applyAlignment="1" applyProtection="1">
      <alignment vertical="center"/>
      <protection hidden="1"/>
    </xf>
    <xf numFmtId="1" fontId="11" fillId="0" borderId="118" xfId="0" applyNumberFormat="1" applyFont="1" applyBorder="1" applyAlignment="1">
      <alignment vertical="center"/>
    </xf>
    <xf numFmtId="0" fontId="6" fillId="0" borderId="2" xfId="0" applyFont="1" applyBorder="1" applyAlignment="1" applyProtection="1">
      <alignment vertical="center"/>
      <protection hidden="1"/>
    </xf>
    <xf numFmtId="1" fontId="6" fillId="0" borderId="129" xfId="0" applyNumberFormat="1" applyFont="1" applyBorder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left"/>
      <protection hidden="1"/>
    </xf>
    <xf numFmtId="0" fontId="12" fillId="0" borderId="7" xfId="0" applyFont="1" applyBorder="1" applyProtection="1">
      <protection hidden="1"/>
    </xf>
    <xf numFmtId="1" fontId="12" fillId="0" borderId="7" xfId="0" applyNumberFormat="1" applyFont="1" applyBorder="1" applyAlignment="1" applyProtection="1">
      <alignment horizontal="center"/>
      <protection hidden="1"/>
    </xf>
    <xf numFmtId="180" fontId="12" fillId="0" borderId="1" xfId="6" applyNumberFormat="1" applyFont="1" applyBorder="1" applyAlignment="1" applyProtection="1">
      <alignment horizontal="centerContinuous" vertical="center"/>
      <protection hidden="1"/>
    </xf>
    <xf numFmtId="165" fontId="6" fillId="0" borderId="13" xfId="6" applyFont="1" applyBorder="1" applyAlignment="1" applyProtection="1">
      <alignment horizontal="centerContinuous" vertical="center"/>
      <protection hidden="1"/>
    </xf>
    <xf numFmtId="180" fontId="12" fillId="7" borderId="53" xfId="6" applyNumberFormat="1" applyFont="1" applyFill="1" applyBorder="1" applyAlignment="1" applyProtection="1">
      <alignment horizontal="centerContinuous" vertical="center"/>
      <protection hidden="1"/>
    </xf>
    <xf numFmtId="180" fontId="12" fillId="7" borderId="13" xfId="6" applyNumberFormat="1" applyFont="1" applyFill="1" applyBorder="1" applyAlignment="1" applyProtection="1">
      <alignment horizontal="centerContinuous" vertical="center"/>
      <protection hidden="1"/>
    </xf>
    <xf numFmtId="165" fontId="6" fillId="7" borderId="13" xfId="6" applyFont="1" applyFill="1" applyBorder="1" applyAlignment="1" applyProtection="1">
      <alignment horizontal="centerContinuous" vertical="center"/>
      <protection hidden="1"/>
    </xf>
    <xf numFmtId="165" fontId="6" fillId="7" borderId="15" xfId="6" applyFont="1" applyFill="1" applyBorder="1" applyAlignment="1" applyProtection="1">
      <alignment horizontal="centerContinuous" vertical="center"/>
      <protection hidden="1"/>
    </xf>
    <xf numFmtId="0" fontId="12" fillId="0" borderId="9" xfId="0" applyFont="1" applyBorder="1" applyAlignment="1" applyProtection="1">
      <alignment horizontal="center"/>
      <protection hidden="1"/>
    </xf>
    <xf numFmtId="1" fontId="12" fillId="0" borderId="9" xfId="0" applyNumberFormat="1" applyFont="1" applyBorder="1" applyAlignment="1" applyProtection="1">
      <alignment horizontal="center"/>
      <protection hidden="1"/>
    </xf>
    <xf numFmtId="180" fontId="12" fillId="0" borderId="2" xfId="6" applyNumberFormat="1" applyFont="1" applyBorder="1" applyAlignment="1" applyProtection="1">
      <alignment horizontal="centerContinuous" vertical="center"/>
      <protection hidden="1"/>
    </xf>
    <xf numFmtId="165" fontId="6" fillId="0" borderId="57" xfId="6" applyFont="1" applyBorder="1" applyAlignment="1" applyProtection="1">
      <alignment horizontal="centerContinuous" vertical="center"/>
      <protection hidden="1"/>
    </xf>
    <xf numFmtId="180" fontId="12" fillId="0" borderId="54" xfId="6" applyNumberFormat="1" applyFont="1" applyBorder="1" applyAlignment="1" applyProtection="1">
      <alignment horizontal="center" vertical="center"/>
      <protection hidden="1"/>
    </xf>
    <xf numFmtId="180" fontId="47" fillId="0" borderId="14" xfId="6" applyNumberFormat="1" applyFont="1" applyBorder="1" applyAlignment="1" applyProtection="1">
      <alignment horizontal="centerContinuous" vertical="center"/>
      <protection hidden="1"/>
    </xf>
    <xf numFmtId="165" fontId="4" fillId="0" borderId="14" xfId="6" applyFont="1" applyBorder="1" applyAlignment="1" applyProtection="1">
      <alignment horizontal="centerContinuous" vertical="center"/>
      <protection hidden="1"/>
    </xf>
    <xf numFmtId="180" fontId="12" fillId="0" borderId="14" xfId="6" applyNumberFormat="1" applyFont="1" applyBorder="1" applyAlignment="1" applyProtection="1">
      <alignment horizontal="centerContinuous" vertical="center"/>
      <protection hidden="1"/>
    </xf>
    <xf numFmtId="1" fontId="12" fillId="0" borderId="8" xfId="0" applyNumberFormat="1" applyFont="1" applyBorder="1" applyAlignment="1" applyProtection="1">
      <alignment horizontal="center"/>
      <protection hidden="1"/>
    </xf>
    <xf numFmtId="180" fontId="6" fillId="0" borderId="9" xfId="6" applyNumberFormat="1" applyFont="1" applyBorder="1" applyAlignment="1" applyProtection="1">
      <alignment horizontal="center" vertical="center"/>
      <protection hidden="1"/>
    </xf>
    <xf numFmtId="180" fontId="12" fillId="0" borderId="2" xfId="6" applyNumberFormat="1" applyFont="1" applyBorder="1" applyAlignment="1" applyProtection="1">
      <alignment horizontal="center" vertical="center"/>
      <protection hidden="1"/>
    </xf>
    <xf numFmtId="180" fontId="12" fillId="0" borderId="11" xfId="6" applyNumberFormat="1" applyFont="1" applyBorder="1" applyAlignment="1" applyProtection="1">
      <alignment horizontal="center" vertical="center"/>
      <protection hidden="1"/>
    </xf>
    <xf numFmtId="181" fontId="6" fillId="0" borderId="0" xfId="0" applyNumberFormat="1" applyFont="1" applyAlignment="1" applyProtection="1">
      <alignment vertical="center"/>
      <protection hidden="1"/>
    </xf>
    <xf numFmtId="0" fontId="6" fillId="0" borderId="17" xfId="0" applyFont="1" applyBorder="1" applyAlignment="1" applyProtection="1">
      <alignment horizontal="right" vertical="center"/>
      <protection hidden="1"/>
    </xf>
    <xf numFmtId="0" fontId="6" fillId="0" borderId="231" xfId="0" applyFont="1" applyBorder="1" applyAlignment="1" applyProtection="1">
      <alignment vertical="center"/>
      <protection hidden="1"/>
    </xf>
    <xf numFmtId="181" fontId="6" fillId="0" borderId="6" xfId="0" applyNumberFormat="1" applyFont="1" applyBorder="1" applyAlignment="1" applyProtection="1">
      <alignment vertical="center"/>
      <protection hidden="1"/>
    </xf>
    <xf numFmtId="0" fontId="6" fillId="0" borderId="0" xfId="0" applyFont="1" applyAlignment="1" applyProtection="1">
      <alignment horizontal="right"/>
      <protection hidden="1"/>
    </xf>
    <xf numFmtId="180" fontId="13" fillId="0" borderId="0" xfId="6" applyNumberFormat="1" applyFont="1" applyAlignment="1" applyProtection="1">
      <alignment horizontal="left" vertical="center"/>
      <protection hidden="1"/>
    </xf>
    <xf numFmtId="0" fontId="6" fillId="0" borderId="11" xfId="0" applyFont="1" applyBorder="1" applyProtection="1">
      <protection hidden="1"/>
    </xf>
    <xf numFmtId="0" fontId="6" fillId="0" borderId="12" xfId="0" applyFont="1" applyBorder="1" applyAlignment="1" applyProtection="1">
      <alignment horizontal="right" vertical="center"/>
      <protection hidden="1"/>
    </xf>
    <xf numFmtId="0" fontId="6" fillId="0" borderId="4" xfId="0" applyFont="1" applyBorder="1" applyAlignment="1" applyProtection="1">
      <alignment horizontal="right" vertical="center"/>
      <protection hidden="1"/>
    </xf>
    <xf numFmtId="0" fontId="6" fillId="0" borderId="4" xfId="0" applyFont="1" applyBorder="1" applyProtection="1">
      <protection hidden="1"/>
    </xf>
    <xf numFmtId="0" fontId="6" fillId="0" borderId="1" xfId="0" applyFont="1" applyBorder="1" applyProtection="1">
      <protection hidden="1"/>
    </xf>
    <xf numFmtId="0" fontId="6" fillId="0" borderId="5" xfId="0" applyFont="1" applyBorder="1" applyProtection="1">
      <protection hidden="1"/>
    </xf>
    <xf numFmtId="0" fontId="6" fillId="0" borderId="5" xfId="0" applyFont="1" applyBorder="1" applyAlignment="1" applyProtection="1">
      <alignment horizontal="right"/>
      <protection hidden="1"/>
    </xf>
    <xf numFmtId="180" fontId="12" fillId="0" borderId="0" xfId="6" applyNumberFormat="1" applyFont="1" applyAlignment="1" applyProtection="1">
      <alignment horizontal="left" vertical="center"/>
      <protection hidden="1"/>
    </xf>
    <xf numFmtId="165" fontId="6" fillId="0" borderId="0" xfId="6" applyFont="1" applyAlignment="1" applyProtection="1">
      <alignment vertical="center"/>
      <protection hidden="1"/>
    </xf>
    <xf numFmtId="165" fontId="6" fillId="0" borderId="1" xfId="6" applyFont="1" applyBorder="1" applyAlignment="1" applyProtection="1">
      <alignment vertical="center"/>
      <protection hidden="1"/>
    </xf>
    <xf numFmtId="165" fontId="6" fillId="0" borderId="13" xfId="6" applyFont="1" applyBorder="1" applyAlignment="1" applyProtection="1">
      <alignment vertical="center"/>
      <protection hidden="1"/>
    </xf>
    <xf numFmtId="182" fontId="12" fillId="0" borderId="1" xfId="6" applyNumberFormat="1" applyFont="1" applyBorder="1" applyAlignment="1" applyProtection="1">
      <alignment horizontal="centerContinuous" vertical="center"/>
      <protection hidden="1"/>
    </xf>
    <xf numFmtId="165" fontId="12" fillId="0" borderId="15" xfId="6" applyFont="1" applyBorder="1" applyAlignment="1" applyProtection="1">
      <alignment horizontal="centerContinuous" vertical="center"/>
      <protection hidden="1"/>
    </xf>
    <xf numFmtId="165" fontId="6" fillId="0" borderId="15" xfId="6" applyFont="1" applyBorder="1" applyAlignment="1" applyProtection="1">
      <alignment horizontal="centerContinuous" vertical="center"/>
      <protection hidden="1"/>
    </xf>
    <xf numFmtId="165" fontId="6" fillId="0" borderId="2" xfId="6" applyFont="1" applyBorder="1" applyAlignment="1" applyProtection="1">
      <alignment vertical="center"/>
      <protection hidden="1"/>
    </xf>
    <xf numFmtId="182" fontId="12" fillId="0" borderId="11" xfId="6" applyNumberFormat="1" applyFont="1" applyBorder="1" applyAlignment="1" applyProtection="1">
      <alignment horizontal="centerContinuous" vertical="center"/>
      <protection hidden="1"/>
    </xf>
    <xf numFmtId="165" fontId="12" fillId="0" borderId="12" xfId="6" applyFont="1" applyBorder="1" applyAlignment="1" applyProtection="1">
      <alignment horizontal="centerContinuous" vertical="center"/>
      <protection hidden="1"/>
    </xf>
    <xf numFmtId="180" fontId="12" fillId="0" borderId="11" xfId="6" applyNumberFormat="1" applyFont="1" applyBorder="1" applyAlignment="1" applyProtection="1">
      <alignment horizontal="centerContinuous" vertical="center"/>
      <protection hidden="1"/>
    </xf>
    <xf numFmtId="182" fontId="6" fillId="0" borderId="12" xfId="6" applyNumberFormat="1" applyFont="1" applyBorder="1" applyAlignment="1" applyProtection="1">
      <alignment horizontal="centerContinuous" vertical="center"/>
      <protection hidden="1"/>
    </xf>
    <xf numFmtId="165" fontId="6" fillId="0" borderId="11" xfId="6" applyFont="1" applyBorder="1" applyAlignment="1" applyProtection="1">
      <alignment vertical="center"/>
      <protection hidden="1"/>
    </xf>
    <xf numFmtId="165" fontId="6" fillId="0" borderId="14" xfId="6" applyFont="1" applyBorder="1" applyAlignment="1" applyProtection="1">
      <alignment vertical="center"/>
      <protection hidden="1"/>
    </xf>
    <xf numFmtId="180" fontId="12" fillId="0" borderId="47" xfId="6" applyNumberFormat="1" applyFont="1" applyBorder="1" applyAlignment="1" applyProtection="1">
      <alignment horizontal="right" vertical="center"/>
      <protection hidden="1"/>
    </xf>
    <xf numFmtId="180" fontId="6" fillId="0" borderId="106" xfId="6" applyNumberFormat="1" applyFont="1" applyBorder="1" applyAlignment="1" applyProtection="1">
      <alignment horizontal="left" vertical="center"/>
      <protection hidden="1"/>
    </xf>
    <xf numFmtId="180" fontId="6" fillId="0" borderId="183" xfId="6" applyNumberFormat="1" applyFont="1" applyBorder="1" applyAlignment="1" applyProtection="1">
      <alignment horizontal="left" vertical="center"/>
      <protection hidden="1"/>
    </xf>
    <xf numFmtId="1" fontId="6" fillId="0" borderId="43" xfId="6" applyNumberFormat="1" applyFont="1" applyBorder="1" applyAlignment="1" applyProtection="1">
      <alignment vertical="center"/>
      <protection hidden="1"/>
    </xf>
    <xf numFmtId="180" fontId="6" fillId="0" borderId="114" xfId="6" applyNumberFormat="1" applyFont="1" applyBorder="1" applyAlignment="1" applyProtection="1">
      <alignment horizontal="left" vertical="center"/>
      <protection hidden="1"/>
    </xf>
    <xf numFmtId="180" fontId="6" fillId="0" borderId="20" xfId="6" applyNumberFormat="1" applyFont="1" applyBorder="1" applyAlignment="1" applyProtection="1">
      <alignment horizontal="left" vertical="center"/>
      <protection hidden="1"/>
    </xf>
    <xf numFmtId="1" fontId="6" fillId="0" borderId="56" xfId="6" applyNumberFormat="1" applyFont="1" applyBorder="1" applyAlignment="1" applyProtection="1">
      <alignment vertical="center"/>
      <protection hidden="1"/>
    </xf>
    <xf numFmtId="180" fontId="6" fillId="0" borderId="138" xfId="6" applyNumberFormat="1" applyFont="1" applyBorder="1" applyAlignment="1" applyProtection="1">
      <alignment horizontal="left" vertical="center"/>
      <protection hidden="1"/>
    </xf>
    <xf numFmtId="180" fontId="6" fillId="0" borderId="187" xfId="6" applyNumberFormat="1" applyFont="1" applyBorder="1" applyAlignment="1" applyProtection="1">
      <alignment horizontal="left" vertical="center"/>
      <protection hidden="1"/>
    </xf>
    <xf numFmtId="1" fontId="6" fillId="0" borderId="45" xfId="6" applyNumberFormat="1" applyFont="1" applyBorder="1" applyAlignment="1" applyProtection="1">
      <alignment vertical="center"/>
      <protection hidden="1"/>
    </xf>
    <xf numFmtId="180" fontId="6" fillId="0" borderId="31" xfId="6" applyNumberFormat="1" applyFont="1" applyBorder="1" applyAlignment="1" applyProtection="1">
      <alignment horizontal="left" vertical="center"/>
      <protection hidden="1"/>
    </xf>
    <xf numFmtId="180" fontId="6" fillId="0" borderId="49" xfId="6" applyNumberFormat="1" applyFont="1" applyBorder="1" applyAlignment="1" applyProtection="1">
      <alignment horizontal="left" vertical="center"/>
      <protection hidden="1"/>
    </xf>
    <xf numFmtId="180" fontId="6" fillId="0" borderId="121" xfId="6" applyNumberFormat="1" applyFont="1" applyBorder="1" applyAlignment="1" applyProtection="1">
      <alignment horizontal="left" vertical="center"/>
      <protection hidden="1"/>
    </xf>
    <xf numFmtId="180" fontId="6" fillId="0" borderId="123" xfId="6" applyNumberFormat="1" applyFont="1" applyBorder="1" applyAlignment="1" applyProtection="1">
      <alignment horizontal="left" vertical="center"/>
      <protection hidden="1"/>
    </xf>
    <xf numFmtId="180" fontId="12" fillId="0" borderId="4" xfId="6" applyNumberFormat="1" applyFont="1" applyBorder="1" applyAlignment="1" applyProtection="1">
      <alignment horizontal="left" vertical="center"/>
      <protection hidden="1"/>
    </xf>
    <xf numFmtId="180" fontId="12" fillId="0" borderId="5" xfId="6" applyNumberFormat="1" applyFont="1" applyBorder="1" applyAlignment="1" applyProtection="1">
      <alignment horizontal="left" vertical="center"/>
      <protection hidden="1"/>
    </xf>
    <xf numFmtId="9" fontId="12" fillId="0" borderId="47" xfId="3" applyFont="1" applyBorder="1" applyAlignment="1" applyProtection="1">
      <alignment vertical="center"/>
      <protection hidden="1"/>
    </xf>
    <xf numFmtId="167" fontId="12" fillId="0" borderId="47" xfId="3" applyNumberFormat="1" applyFont="1" applyBorder="1" applyAlignment="1" applyProtection="1">
      <alignment vertical="center"/>
      <protection hidden="1"/>
    </xf>
    <xf numFmtId="1" fontId="6" fillId="0" borderId="0" xfId="6" applyNumberFormat="1" applyFont="1" applyAlignment="1" applyProtection="1">
      <alignment vertical="center"/>
      <protection hidden="1"/>
    </xf>
    <xf numFmtId="165" fontId="12" fillId="0" borderId="0" xfId="6" applyFont="1" applyAlignment="1" applyProtection="1">
      <alignment vertical="center"/>
      <protection hidden="1"/>
    </xf>
    <xf numFmtId="1" fontId="6" fillId="0" borderId="0" xfId="6" applyNumberFormat="1" applyFont="1" applyAlignment="1" applyProtection="1">
      <alignment horizontal="right" vertical="center"/>
      <protection hidden="1"/>
    </xf>
    <xf numFmtId="9" fontId="6" fillId="0" borderId="8" xfId="3" applyFont="1" applyBorder="1" applyAlignment="1" applyProtection="1">
      <alignment vertical="center"/>
      <protection hidden="1"/>
    </xf>
    <xf numFmtId="165" fontId="6" fillId="0" borderId="0" xfId="6" applyFont="1" applyAlignment="1" applyProtection="1">
      <alignment horizontal="right" vertical="center"/>
      <protection hidden="1"/>
    </xf>
    <xf numFmtId="1" fontId="12" fillId="0" borderId="0" xfId="6" applyNumberFormat="1" applyFont="1" applyAlignment="1" applyProtection="1">
      <alignment vertical="center"/>
      <protection hidden="1"/>
    </xf>
    <xf numFmtId="1" fontId="32" fillId="0" borderId="0" xfId="6" applyNumberFormat="1" applyFont="1" applyAlignment="1" applyProtection="1">
      <alignment vertical="center"/>
      <protection hidden="1"/>
    </xf>
    <xf numFmtId="183" fontId="12" fillId="0" borderId="0" xfId="6" applyNumberFormat="1" applyFont="1" applyAlignment="1" applyProtection="1">
      <alignment vertical="center"/>
      <protection hidden="1"/>
    </xf>
    <xf numFmtId="165" fontId="224" fillId="0" borderId="0" xfId="6" applyFont="1" applyAlignment="1" applyProtection="1">
      <alignment vertical="center"/>
      <protection hidden="1"/>
    </xf>
    <xf numFmtId="165" fontId="32" fillId="0" borderId="0" xfId="6" applyFont="1" applyAlignment="1" applyProtection="1">
      <alignment vertical="center"/>
      <protection hidden="1"/>
    </xf>
    <xf numFmtId="165" fontId="32" fillId="0" borderId="0" xfId="6" applyFont="1" applyAlignment="1" applyProtection="1">
      <alignment horizontal="right" vertical="center"/>
      <protection hidden="1"/>
    </xf>
    <xf numFmtId="2" fontId="32" fillId="0" borderId="0" xfId="6" applyNumberFormat="1" applyFont="1" applyAlignment="1" applyProtection="1">
      <alignment horizontal="right" vertical="center"/>
      <protection hidden="1"/>
    </xf>
    <xf numFmtId="1" fontId="6" fillId="0" borderId="0" xfId="6" applyNumberFormat="1" applyFont="1" applyAlignment="1" applyProtection="1">
      <alignment horizontal="center" vertical="center"/>
      <protection hidden="1"/>
    </xf>
    <xf numFmtId="165" fontId="6" fillId="0" borderId="0" xfId="6" applyFont="1" applyAlignment="1" applyProtection="1">
      <alignment vertical="center"/>
      <protection locked="0"/>
    </xf>
    <xf numFmtId="165" fontId="6" fillId="0" borderId="227" xfId="6" applyFont="1" applyBorder="1" applyAlignment="1" applyProtection="1">
      <alignment vertical="center"/>
      <protection hidden="1"/>
    </xf>
    <xf numFmtId="165" fontId="6" fillId="0" borderId="233" xfId="6" applyFont="1" applyBorder="1" applyAlignment="1" applyProtection="1">
      <alignment vertical="center"/>
      <protection hidden="1"/>
    </xf>
    <xf numFmtId="1" fontId="135" fillId="0" borderId="1" xfId="0" applyNumberFormat="1" applyFont="1" applyBorder="1" applyAlignment="1" applyProtection="1">
      <alignment horizontal="center"/>
      <protection hidden="1"/>
    </xf>
    <xf numFmtId="1" fontId="135" fillId="0" borderId="9" xfId="0" applyNumberFormat="1" applyFont="1" applyBorder="1" applyAlignment="1" applyProtection="1">
      <alignment horizontal="center"/>
      <protection hidden="1"/>
    </xf>
    <xf numFmtId="1" fontId="135" fillId="0" borderId="8" xfId="0" applyNumberFormat="1" applyFont="1" applyBorder="1" applyAlignment="1" applyProtection="1">
      <alignment horizontal="center"/>
      <protection hidden="1"/>
    </xf>
    <xf numFmtId="0" fontId="6" fillId="0" borderId="13" xfId="0" applyFont="1" applyBorder="1" applyProtection="1">
      <protection hidden="1"/>
    </xf>
    <xf numFmtId="0" fontId="12" fillId="0" borderId="1" xfId="0" applyFont="1" applyBorder="1" applyAlignment="1" applyProtection="1">
      <alignment vertical="center"/>
      <protection hidden="1"/>
    </xf>
    <xf numFmtId="0" fontId="12" fillId="0" borderId="15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centerContinuous" vertical="center"/>
      <protection hidden="1"/>
    </xf>
    <xf numFmtId="0" fontId="12" fillId="0" borderId="15" xfId="0" applyFont="1" applyBorder="1" applyAlignment="1" applyProtection="1">
      <alignment horizontal="centerContinuous" vertical="center"/>
      <protection hidden="1"/>
    </xf>
    <xf numFmtId="165" fontId="6" fillId="0" borderId="228" xfId="6" applyFont="1" applyBorder="1" applyAlignment="1" applyProtection="1">
      <alignment vertical="center"/>
      <protection hidden="1"/>
    </xf>
    <xf numFmtId="165" fontId="221" fillId="0" borderId="0" xfId="6" applyFont="1" applyAlignment="1" applyProtection="1">
      <alignment vertical="center"/>
      <protection hidden="1"/>
    </xf>
    <xf numFmtId="165" fontId="221" fillId="0" borderId="0" xfId="6" applyFont="1" applyAlignment="1" applyProtection="1">
      <alignment horizontal="left" vertical="center"/>
      <protection hidden="1"/>
    </xf>
    <xf numFmtId="0" fontId="235" fillId="0" borderId="228" xfId="0" applyFont="1" applyBorder="1" applyProtection="1">
      <protection hidden="1"/>
    </xf>
    <xf numFmtId="0" fontId="6" fillId="0" borderId="228" xfId="0" applyFont="1" applyBorder="1" applyProtection="1">
      <protection hidden="1"/>
    </xf>
    <xf numFmtId="165" fontId="12" fillId="0" borderId="0" xfId="6" applyFont="1" applyAlignment="1" applyProtection="1">
      <alignment horizontal="left" vertical="center"/>
      <protection hidden="1"/>
    </xf>
    <xf numFmtId="165" fontId="221" fillId="0" borderId="0" xfId="6" applyFont="1" applyAlignment="1" applyProtection="1">
      <alignment horizontal="center" vertical="center"/>
      <protection hidden="1"/>
    </xf>
    <xf numFmtId="165" fontId="221" fillId="0" borderId="0" xfId="6" applyFont="1" applyAlignment="1" applyProtection="1">
      <alignment horizontal="centerContinuous" vertical="center"/>
      <protection hidden="1"/>
    </xf>
    <xf numFmtId="165" fontId="12" fillId="0" borderId="0" xfId="6" applyFont="1" applyAlignment="1" applyProtection="1">
      <alignment horizontal="centerContinuous" vertical="center"/>
      <protection hidden="1"/>
    </xf>
    <xf numFmtId="0" fontId="12" fillId="0" borderId="0" xfId="0" applyFont="1" applyAlignment="1" applyProtection="1">
      <alignment horizontal="centerContinuous"/>
      <protection hidden="1"/>
    </xf>
    <xf numFmtId="165" fontId="235" fillId="0" borderId="0" xfId="6" applyFont="1" applyAlignment="1" applyProtection="1">
      <alignment horizontal="centerContinuous" vertical="center"/>
      <protection hidden="1"/>
    </xf>
    <xf numFmtId="0" fontId="235" fillId="0" borderId="0" xfId="0" applyFont="1" applyAlignment="1" applyProtection="1">
      <alignment horizontal="centerContinuous"/>
      <protection hidden="1"/>
    </xf>
    <xf numFmtId="165" fontId="221" fillId="0" borderId="0" xfId="6" quotePrefix="1" applyFont="1" applyAlignment="1" applyProtection="1">
      <alignment horizontal="center" vertical="center"/>
      <protection hidden="1"/>
    </xf>
    <xf numFmtId="165" fontId="266" fillId="0" borderId="7" xfId="6" applyFont="1" applyBorder="1" applyAlignment="1" applyProtection="1">
      <alignment horizontal="center" vertical="center"/>
      <protection hidden="1"/>
    </xf>
    <xf numFmtId="0" fontId="235" fillId="0" borderId="0" xfId="0" applyFont="1" applyProtection="1">
      <protection hidden="1"/>
    </xf>
    <xf numFmtId="0" fontId="235" fillId="0" borderId="0" xfId="0" applyFont="1" applyAlignment="1" applyProtection="1">
      <alignment horizontal="right"/>
      <protection hidden="1"/>
    </xf>
    <xf numFmtId="0" fontId="235" fillId="0" borderId="234" xfId="0" applyFont="1" applyBorder="1" applyAlignment="1" applyProtection="1">
      <alignment horizontal="center"/>
      <protection hidden="1"/>
    </xf>
    <xf numFmtId="165" fontId="267" fillId="0" borderId="9" xfId="6" applyFont="1" applyBorder="1" applyAlignment="1" applyProtection="1">
      <alignment horizontal="center" vertical="center"/>
      <protection hidden="1"/>
    </xf>
    <xf numFmtId="0" fontId="235" fillId="7" borderId="0" xfId="0" applyFont="1" applyFill="1" applyAlignment="1" applyProtection="1">
      <alignment horizontal="center"/>
      <protection hidden="1"/>
    </xf>
    <xf numFmtId="165" fontId="267" fillId="0" borderId="8" xfId="6" applyFont="1" applyBorder="1" applyAlignment="1" applyProtection="1">
      <alignment horizontal="center" vertical="center"/>
      <protection hidden="1"/>
    </xf>
    <xf numFmtId="0" fontId="235" fillId="0" borderId="215" xfId="0" quotePrefix="1" applyFont="1" applyBorder="1" applyAlignment="1" applyProtection="1">
      <alignment horizontal="center"/>
      <protection hidden="1"/>
    </xf>
    <xf numFmtId="0" fontId="235" fillId="0" borderId="235" xfId="0" quotePrefix="1" applyFont="1" applyBorder="1" applyAlignment="1" applyProtection="1">
      <alignment horizontal="center"/>
      <protection hidden="1"/>
    </xf>
    <xf numFmtId="165" fontId="221" fillId="0" borderId="0" xfId="6" applyFont="1" applyAlignment="1" applyProtection="1">
      <alignment horizontal="right" vertical="center"/>
      <protection hidden="1"/>
    </xf>
    <xf numFmtId="2" fontId="6" fillId="3" borderId="106" xfId="6" applyNumberFormat="1" applyFont="1" applyFill="1" applyBorder="1" applyAlignment="1" applyProtection="1">
      <alignment horizontal="right" vertical="center"/>
      <protection locked="0"/>
    </xf>
    <xf numFmtId="2" fontId="6" fillId="0" borderId="9" xfId="6" applyNumberFormat="1" applyFont="1" applyBorder="1" applyAlignment="1" applyProtection="1">
      <alignment vertical="center"/>
      <protection hidden="1"/>
    </xf>
    <xf numFmtId="2" fontId="6" fillId="3" borderId="99" xfId="6" applyNumberFormat="1" applyFont="1" applyFill="1" applyBorder="1" applyAlignment="1" applyProtection="1">
      <alignment vertical="center"/>
      <protection locked="0"/>
    </xf>
    <xf numFmtId="165" fontId="235" fillId="0" borderId="234" xfId="0" applyNumberFormat="1" applyFont="1" applyBorder="1" applyProtection="1">
      <protection hidden="1"/>
    </xf>
    <xf numFmtId="2" fontId="6" fillId="3" borderId="114" xfId="6" applyNumberFormat="1" applyFont="1" applyFill="1" applyBorder="1" applyAlignment="1" applyProtection="1">
      <alignment vertical="center"/>
      <protection locked="0"/>
    </xf>
    <xf numFmtId="2" fontId="6" fillId="3" borderId="115" xfId="6" applyNumberFormat="1" applyFont="1" applyFill="1" applyBorder="1" applyAlignment="1" applyProtection="1">
      <alignment vertical="center"/>
      <protection locked="0"/>
    </xf>
    <xf numFmtId="2" fontId="6" fillId="3" borderId="138" xfId="6" applyNumberFormat="1" applyFont="1" applyFill="1" applyBorder="1" applyAlignment="1" applyProtection="1">
      <alignment vertical="center"/>
      <protection locked="0"/>
    </xf>
    <xf numFmtId="2" fontId="6" fillId="3" borderId="236" xfId="6" applyNumberFormat="1" applyFont="1" applyFill="1" applyBorder="1" applyAlignment="1" applyProtection="1">
      <alignment vertical="center"/>
      <protection locked="0"/>
    </xf>
    <xf numFmtId="165" fontId="221" fillId="0" borderId="5" xfId="6" applyFont="1" applyBorder="1" applyAlignment="1" applyProtection="1">
      <alignment horizontal="right" vertical="center"/>
      <protection hidden="1"/>
    </xf>
    <xf numFmtId="0" fontId="12" fillId="0" borderId="17" xfId="0" applyFont="1" applyBorder="1" applyProtection="1">
      <protection hidden="1"/>
    </xf>
    <xf numFmtId="2" fontId="267" fillId="0" borderId="6" xfId="6" applyNumberFormat="1" applyFont="1" applyBorder="1" applyAlignment="1" applyProtection="1">
      <alignment vertical="center"/>
      <protection hidden="1"/>
    </xf>
    <xf numFmtId="2" fontId="267" fillId="0" borderId="12" xfId="6" applyNumberFormat="1" applyFont="1" applyBorder="1" applyAlignment="1" applyProtection="1">
      <alignment vertical="center"/>
      <protection hidden="1"/>
    </xf>
    <xf numFmtId="2" fontId="267" fillId="0" borderId="11" xfId="6" applyNumberFormat="1" applyFont="1" applyBorder="1" applyAlignment="1" applyProtection="1">
      <alignment vertical="center"/>
      <protection hidden="1"/>
    </xf>
    <xf numFmtId="165" fontId="12" fillId="0" borderId="234" xfId="6" applyFont="1" applyBorder="1" applyAlignment="1" applyProtection="1">
      <alignment vertical="center"/>
      <protection hidden="1"/>
    </xf>
    <xf numFmtId="165" fontId="12" fillId="0" borderId="0" xfId="6" applyFont="1" applyAlignment="1" applyProtection="1">
      <alignment horizontal="right" vertical="center"/>
      <protection hidden="1"/>
    </xf>
    <xf numFmtId="2" fontId="12" fillId="0" borderId="4" xfId="6" applyNumberFormat="1" applyFont="1" applyBorder="1" applyAlignment="1" applyProtection="1">
      <alignment horizontal="centerContinuous" vertical="center"/>
      <protection hidden="1"/>
    </xf>
    <xf numFmtId="2" fontId="12" fillId="0" borderId="5" xfId="6" applyNumberFormat="1" applyFont="1" applyBorder="1" applyAlignment="1" applyProtection="1">
      <alignment horizontal="center" vertical="center"/>
      <protection hidden="1"/>
    </xf>
    <xf numFmtId="2" fontId="267" fillId="0" borderId="5" xfId="6" applyNumberFormat="1" applyFont="1" applyBorder="1" applyAlignment="1" applyProtection="1">
      <alignment horizontal="centerContinuous" vertical="center"/>
      <protection hidden="1"/>
    </xf>
    <xf numFmtId="2" fontId="267" fillId="0" borderId="17" xfId="6" applyNumberFormat="1" applyFont="1" applyBorder="1" applyAlignment="1" applyProtection="1">
      <alignment horizontal="centerContinuous" vertical="center"/>
      <protection hidden="1"/>
    </xf>
    <xf numFmtId="165" fontId="268" fillId="0" borderId="0" xfId="6" applyFont="1" applyAlignment="1" applyProtection="1">
      <alignment vertical="center"/>
      <protection hidden="1"/>
    </xf>
    <xf numFmtId="165" fontId="265" fillId="0" borderId="0" xfId="6" applyFont="1" applyAlignment="1" applyProtection="1">
      <alignment vertical="center"/>
      <protection hidden="1"/>
    </xf>
    <xf numFmtId="0" fontId="6" fillId="0" borderId="228" xfId="0" applyFont="1" applyBorder="1" applyProtection="1">
      <protection locked="0"/>
    </xf>
    <xf numFmtId="0" fontId="269" fillId="0" borderId="0" xfId="0" applyFont="1" applyProtection="1">
      <protection hidden="1"/>
    </xf>
    <xf numFmtId="165" fontId="270" fillId="0" borderId="0" xfId="6" applyFont="1" applyAlignment="1" applyProtection="1">
      <alignment vertical="center"/>
      <protection hidden="1"/>
    </xf>
    <xf numFmtId="185" fontId="270" fillId="0" borderId="0" xfId="6" quotePrefix="1" applyNumberFormat="1" applyFont="1" applyAlignment="1" applyProtection="1">
      <alignment horizontal="center" vertical="center"/>
      <protection hidden="1"/>
    </xf>
    <xf numFmtId="0" fontId="270" fillId="0" borderId="0" xfId="0" applyFont="1" applyProtection="1">
      <protection hidden="1"/>
    </xf>
    <xf numFmtId="165" fontId="270" fillId="0" borderId="0" xfId="6" applyFont="1" applyAlignment="1" applyProtection="1">
      <alignment horizontal="center" vertical="center"/>
      <protection hidden="1"/>
    </xf>
    <xf numFmtId="2" fontId="270" fillId="0" borderId="6" xfId="6" quotePrefix="1" applyNumberFormat="1" applyFont="1" applyBorder="1" applyAlignment="1" applyProtection="1">
      <alignment horizontal="center" vertical="center"/>
      <protection hidden="1"/>
    </xf>
    <xf numFmtId="2" fontId="270" fillId="0" borderId="6" xfId="6" applyNumberFormat="1" applyFont="1" applyBorder="1" applyAlignment="1" applyProtection="1">
      <alignment horizontal="right" vertical="center"/>
      <protection hidden="1"/>
    </xf>
    <xf numFmtId="165" fontId="270" fillId="0" borderId="0" xfId="6" applyFont="1" applyAlignment="1" applyProtection="1">
      <alignment horizontal="right" vertical="center"/>
      <protection hidden="1"/>
    </xf>
    <xf numFmtId="167" fontId="270" fillId="21" borderId="6" xfId="3" applyNumberFormat="1" applyFont="1" applyFill="1" applyBorder="1" applyAlignment="1" applyProtection="1">
      <alignment horizontal="right" vertical="center"/>
      <protection hidden="1"/>
    </xf>
    <xf numFmtId="0" fontId="270" fillId="0" borderId="7" xfId="0" applyFont="1" applyBorder="1" applyAlignment="1" applyProtection="1">
      <alignment horizontal="center"/>
      <protection hidden="1"/>
    </xf>
    <xf numFmtId="0" fontId="270" fillId="0" borderId="7" xfId="0" applyFont="1" applyBorder="1" applyProtection="1">
      <protection hidden="1"/>
    </xf>
    <xf numFmtId="0" fontId="270" fillId="0" borderId="14" xfId="0" applyFont="1" applyBorder="1" applyProtection="1">
      <protection hidden="1"/>
    </xf>
    <xf numFmtId="165" fontId="270" fillId="0" borderId="14" xfId="6" applyFont="1" applyBorder="1" applyAlignment="1" applyProtection="1">
      <alignment vertical="center"/>
      <protection hidden="1"/>
    </xf>
    <xf numFmtId="165" fontId="270" fillId="0" borderId="12" xfId="6" applyFont="1" applyBorder="1" applyAlignment="1" applyProtection="1">
      <alignment vertical="center"/>
      <protection hidden="1"/>
    </xf>
    <xf numFmtId="0" fontId="270" fillId="0" borderId="8" xfId="0" applyFont="1" applyBorder="1" applyAlignment="1" applyProtection="1">
      <alignment horizontal="center"/>
      <protection hidden="1"/>
    </xf>
    <xf numFmtId="165" fontId="270" fillId="0" borderId="8" xfId="6" applyFont="1" applyBorder="1" applyAlignment="1" applyProtection="1">
      <alignment horizontal="center" vertical="center"/>
      <protection hidden="1"/>
    </xf>
    <xf numFmtId="0" fontId="270" fillId="0" borderId="8" xfId="0" applyFont="1" applyBorder="1" applyProtection="1">
      <protection hidden="1"/>
    </xf>
    <xf numFmtId="9" fontId="270" fillId="0" borderId="110" xfId="3" applyFont="1" applyBorder="1" applyAlignment="1" applyProtection="1">
      <alignment horizontal="center" vertical="center"/>
      <protection hidden="1"/>
    </xf>
    <xf numFmtId="167" fontId="270" fillId="0" borderId="110" xfId="3" applyNumberFormat="1" applyFont="1" applyBorder="1" applyAlignment="1" applyProtection="1">
      <alignment horizontal="center" vertical="center"/>
      <protection hidden="1"/>
    </xf>
    <xf numFmtId="165" fontId="270" fillId="0" borderId="110" xfId="6" applyFont="1" applyBorder="1" applyAlignment="1" applyProtection="1">
      <alignment horizontal="center" vertical="center"/>
      <protection hidden="1"/>
    </xf>
    <xf numFmtId="9" fontId="270" fillId="0" borderId="118" xfId="3" applyFont="1" applyBorder="1" applyAlignment="1" applyProtection="1">
      <alignment horizontal="center" vertical="center"/>
      <protection hidden="1"/>
    </xf>
    <xf numFmtId="167" fontId="270" fillId="0" borderId="118" xfId="3" applyNumberFormat="1" applyFont="1" applyBorder="1" applyAlignment="1" applyProtection="1">
      <alignment horizontal="center" vertical="center"/>
      <protection hidden="1"/>
    </xf>
    <xf numFmtId="165" fontId="270" fillId="0" borderId="118" xfId="6" applyFont="1" applyBorder="1" applyAlignment="1" applyProtection="1">
      <alignment horizontal="center" vertical="center"/>
      <protection hidden="1"/>
    </xf>
    <xf numFmtId="0" fontId="270" fillId="0" borderId="0" xfId="0" quotePrefix="1" applyFont="1" applyAlignment="1" applyProtection="1">
      <alignment horizontal="right"/>
      <protection hidden="1"/>
    </xf>
    <xf numFmtId="3" fontId="270" fillId="0" borderId="6" xfId="6" applyNumberFormat="1" applyFont="1" applyBorder="1" applyAlignment="1" applyProtection="1">
      <alignment horizontal="right" vertical="center"/>
      <protection hidden="1"/>
    </xf>
    <xf numFmtId="0" fontId="6" fillId="0" borderId="232" xfId="0" applyFont="1" applyBorder="1" applyProtection="1">
      <protection hidden="1"/>
    </xf>
    <xf numFmtId="0" fontId="6" fillId="0" borderId="237" xfId="0" applyFont="1" applyBorder="1" applyProtection="1">
      <protection hidden="1"/>
    </xf>
    <xf numFmtId="0" fontId="231" fillId="0" borderId="0" xfId="0" applyFont="1" applyProtection="1">
      <protection hidden="1"/>
    </xf>
    <xf numFmtId="0" fontId="271" fillId="0" borderId="0" xfId="0" applyFont="1"/>
    <xf numFmtId="0" fontId="272" fillId="0" borderId="0" xfId="0" applyFont="1"/>
    <xf numFmtId="0" fontId="273" fillId="0" borderId="0" xfId="0" applyFont="1" applyAlignment="1">
      <alignment horizontal="center" vertical="center"/>
    </xf>
    <xf numFmtId="9" fontId="273" fillId="0" borderId="0" xfId="3" applyFont="1" applyAlignment="1">
      <alignment horizontal="center" vertical="center"/>
    </xf>
    <xf numFmtId="0" fontId="273" fillId="0" borderId="14" xfId="0" applyFont="1" applyBorder="1" applyAlignment="1">
      <alignment horizontal="center" vertical="center"/>
    </xf>
    <xf numFmtId="1" fontId="11" fillId="0" borderId="0" xfId="0" applyNumberFormat="1" applyFont="1" applyProtection="1">
      <protection hidden="1"/>
    </xf>
    <xf numFmtId="0" fontId="272" fillId="0" borderId="14" xfId="0" applyFont="1" applyBorder="1"/>
    <xf numFmtId="0" fontId="11" fillId="3" borderId="0" xfId="0" applyFont="1" applyFill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right" vertical="center"/>
      <protection hidden="1"/>
    </xf>
    <xf numFmtId="0" fontId="274" fillId="0" borderId="0" xfId="0" applyFont="1" applyAlignment="1" applyProtection="1">
      <alignment horizontal="center" vertical="center"/>
      <protection hidden="1"/>
    </xf>
    <xf numFmtId="0" fontId="274" fillId="0" borderId="14" xfId="0" applyFont="1" applyBorder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left" vertical="top"/>
      <protection hidden="1"/>
    </xf>
    <xf numFmtId="0" fontId="16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left" vertical="top"/>
      <protection hidden="1"/>
    </xf>
    <xf numFmtId="49" fontId="18" fillId="0" borderId="0" xfId="0" applyNumberFormat="1" applyFont="1" applyAlignment="1" applyProtection="1">
      <alignment horizontal="left" vertical="top"/>
      <protection hidden="1"/>
    </xf>
    <xf numFmtId="0" fontId="275" fillId="0" borderId="0" xfId="0" applyFont="1" applyAlignment="1">
      <alignment horizontal="left" vertical="top"/>
    </xf>
    <xf numFmtId="0" fontId="12" fillId="0" borderId="4" xfId="0" applyFont="1" applyBorder="1" applyAlignment="1" applyProtection="1">
      <alignment vertical="center"/>
      <protection hidden="1"/>
    </xf>
    <xf numFmtId="0" fontId="83" fillId="0" borderId="0" xfId="0" applyFont="1" applyAlignment="1" applyProtection="1">
      <alignment vertical="center"/>
      <protection locked="0"/>
    </xf>
    <xf numFmtId="0" fontId="13" fillId="11" borderId="0" xfId="0" applyFont="1" applyFill="1" applyAlignment="1">
      <alignment horizontal="center"/>
    </xf>
    <xf numFmtId="0" fontId="11" fillId="11" borderId="0" xfId="0" applyFont="1" applyFill="1" applyAlignment="1">
      <alignment horizontal="center"/>
    </xf>
    <xf numFmtId="9" fontId="32" fillId="0" borderId="0" xfId="3" applyFont="1" applyBorder="1" applyAlignment="1" applyProtection="1">
      <alignment horizontal="left"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18" fillId="0" borderId="0" xfId="0" applyFont="1" applyAlignment="1" applyProtection="1">
      <alignment horizontal="left" vertical="center"/>
      <protection hidden="1"/>
    </xf>
    <xf numFmtId="0" fontId="275" fillId="0" borderId="0" xfId="0" applyFont="1" applyAlignment="1">
      <alignment horizontal="left" vertical="center"/>
    </xf>
    <xf numFmtId="49" fontId="18" fillId="0" borderId="0" xfId="0" applyNumberFormat="1" applyFont="1" applyAlignment="1" applyProtection="1">
      <alignment horizontal="left" vertical="center"/>
      <protection hidden="1"/>
    </xf>
    <xf numFmtId="0" fontId="173" fillId="0" borderId="0" xfId="0" applyFont="1" applyAlignment="1" applyProtection="1">
      <alignment vertical="center"/>
      <protection hidden="1"/>
    </xf>
    <xf numFmtId="0" fontId="173" fillId="7" borderId="0" xfId="0" applyFont="1" applyFill="1" applyAlignment="1" applyProtection="1">
      <alignment vertical="center"/>
      <protection hidden="1"/>
    </xf>
    <xf numFmtId="0" fontId="11" fillId="0" borderId="225" xfId="0" applyFont="1" applyBorder="1"/>
    <xf numFmtId="0" fontId="11" fillId="0" borderId="234" xfId="0" applyFont="1" applyBorder="1"/>
    <xf numFmtId="0" fontId="11" fillId="0" borderId="226" xfId="0" applyFont="1" applyBorder="1"/>
    <xf numFmtId="0" fontId="11" fillId="0" borderId="235" xfId="0" applyFont="1" applyBorder="1"/>
    <xf numFmtId="0" fontId="11" fillId="0" borderId="238" xfId="0" applyFont="1" applyBorder="1"/>
    <xf numFmtId="0" fontId="123" fillId="0" borderId="0" xfId="0" applyFont="1"/>
    <xf numFmtId="0" fontId="11" fillId="0" borderId="239" xfId="0" quotePrefix="1" applyFont="1" applyBorder="1"/>
    <xf numFmtId="0" fontId="103" fillId="0" borderId="0" xfId="0" applyFont="1" applyAlignment="1">
      <alignment vertical="center"/>
    </xf>
    <xf numFmtId="0" fontId="13" fillId="9" borderId="0" xfId="0" applyFont="1" applyFill="1" applyAlignment="1" applyProtection="1">
      <alignment vertical="center"/>
      <protection hidden="1"/>
    </xf>
    <xf numFmtId="0" fontId="112" fillId="0" borderId="0" xfId="0" applyFont="1"/>
    <xf numFmtId="0" fontId="112" fillId="0" borderId="0" xfId="0" quotePrefix="1" applyFont="1"/>
    <xf numFmtId="0" fontId="112" fillId="7" borderId="0" xfId="0" applyFont="1" applyFill="1" applyAlignment="1">
      <alignment horizontal="center"/>
    </xf>
    <xf numFmtId="0" fontId="11" fillId="0" borderId="0" xfId="0" applyFont="1" applyAlignment="1">
      <alignment vertical="top"/>
    </xf>
    <xf numFmtId="49" fontId="29" fillId="9" borderId="0" xfId="0" applyNumberFormat="1" applyFont="1" applyFill="1" applyAlignment="1" applyProtection="1">
      <alignment vertical="center"/>
      <protection hidden="1"/>
    </xf>
    <xf numFmtId="49" fontId="12" fillId="9" borderId="0" xfId="0" applyNumberFormat="1" applyFont="1" applyFill="1" applyAlignment="1" applyProtection="1">
      <alignment vertical="center"/>
      <protection hidden="1"/>
    </xf>
    <xf numFmtId="0" fontId="11" fillId="9" borderId="0" xfId="0" applyFont="1" applyFill="1" applyAlignment="1" applyProtection="1">
      <alignment vertical="top"/>
      <protection hidden="1"/>
    </xf>
    <xf numFmtId="0" fontId="11" fillId="9" borderId="0" xfId="0" applyFont="1" applyFill="1" applyAlignment="1" applyProtection="1">
      <alignment vertical="top" wrapText="1"/>
      <protection hidden="1"/>
    </xf>
    <xf numFmtId="0" fontId="49" fillId="9" borderId="0" xfId="0" applyFont="1" applyFill="1" applyAlignment="1" applyProtection="1">
      <alignment vertical="center"/>
      <protection hidden="1"/>
    </xf>
    <xf numFmtId="0" fontId="219" fillId="9" borderId="0" xfId="0" applyFont="1" applyFill="1" applyAlignment="1" applyProtection="1">
      <alignment vertical="center"/>
      <protection hidden="1"/>
    </xf>
    <xf numFmtId="49" fontId="18" fillId="11" borderId="0" xfId="0" applyNumberFormat="1" applyFont="1" applyFill="1" applyAlignment="1" applyProtection="1">
      <alignment horizontal="left" vertical="center"/>
      <protection hidden="1"/>
    </xf>
    <xf numFmtId="49" fontId="18" fillId="11" borderId="0" xfId="0" applyNumberFormat="1" applyFont="1" applyFill="1" applyAlignment="1" applyProtection="1">
      <alignment horizontal="left" vertical="top"/>
      <protection hidden="1"/>
    </xf>
    <xf numFmtId="49" fontId="280" fillId="0" borderId="0" xfId="0" applyNumberFormat="1" applyFont="1" applyAlignment="1" applyProtection="1">
      <alignment vertical="center"/>
      <protection hidden="1"/>
    </xf>
    <xf numFmtId="0" fontId="281" fillId="0" borderId="0" xfId="0" applyFont="1" applyAlignment="1" applyProtection="1">
      <alignment vertical="center"/>
      <protection hidden="1"/>
    </xf>
    <xf numFmtId="0" fontId="282" fillId="0" borderId="0" xfId="0" applyFont="1" applyAlignment="1">
      <alignment horizontal="left" vertical="center"/>
    </xf>
    <xf numFmtId="9" fontId="6" fillId="0" borderId="0" xfId="3" applyFont="1" applyAlignment="1" applyProtection="1">
      <alignment vertical="center"/>
    </xf>
    <xf numFmtId="9" fontId="6" fillId="0" borderId="0" xfId="3" applyFont="1" applyBorder="1" applyAlignment="1" applyProtection="1">
      <alignment vertical="center"/>
    </xf>
    <xf numFmtId="0" fontId="284" fillId="0" borderId="0" xfId="0" applyFont="1" applyAlignment="1">
      <alignment horizontal="right" vertical="center"/>
    </xf>
    <xf numFmtId="0" fontId="284" fillId="0" borderId="0" xfId="0" applyFont="1" applyAlignment="1">
      <alignment vertical="center"/>
    </xf>
    <xf numFmtId="1" fontId="284" fillId="0" borderId="0" xfId="3" applyNumberFormat="1" applyFont="1" applyAlignment="1" applyProtection="1">
      <alignment vertical="center"/>
    </xf>
    <xf numFmtId="0" fontId="284" fillId="0" borderId="0" xfId="0" applyFont="1" applyAlignment="1">
      <alignment horizontal="center" vertical="center"/>
    </xf>
    <xf numFmtId="1" fontId="283" fillId="0" borderId="0" xfId="3" applyNumberFormat="1" applyFont="1" applyAlignment="1" applyProtection="1">
      <alignment vertical="center"/>
    </xf>
    <xf numFmtId="1" fontId="12" fillId="0" borderId="0" xfId="3" applyNumberFormat="1" applyFont="1" applyBorder="1" applyAlignment="1" applyProtection="1">
      <alignment vertical="center"/>
    </xf>
    <xf numFmtId="1" fontId="12" fillId="0" borderId="0" xfId="3" applyNumberFormat="1" applyFont="1" applyAlignment="1" applyProtection="1">
      <alignment vertical="center"/>
    </xf>
    <xf numFmtId="0" fontId="286" fillId="0" borderId="0" xfId="0" applyFont="1" applyAlignment="1">
      <alignment horizontal="center" vertical="center"/>
    </xf>
    <xf numFmtId="0" fontId="83" fillId="0" borderId="14" xfId="0" applyFont="1" applyBorder="1" applyAlignment="1">
      <alignment horizontal="center" vertical="center"/>
    </xf>
    <xf numFmtId="9" fontId="83" fillId="0" borderId="0" xfId="3" applyFont="1" applyAlignment="1" applyProtection="1">
      <alignment vertical="center"/>
    </xf>
    <xf numFmtId="9" fontId="83" fillId="22" borderId="0" xfId="3" applyFont="1" applyFill="1" applyAlignment="1" applyProtection="1">
      <alignment vertical="center"/>
    </xf>
    <xf numFmtId="9" fontId="83" fillId="0" borderId="5" xfId="3" applyFont="1" applyBorder="1" applyAlignment="1" applyProtection="1">
      <alignment vertical="center"/>
    </xf>
    <xf numFmtId="9" fontId="83" fillId="0" borderId="0" xfId="0" applyNumberFormat="1" applyFont="1" applyAlignment="1">
      <alignment vertical="center"/>
    </xf>
    <xf numFmtId="9" fontId="135" fillId="0" borderId="0" xfId="0" applyNumberFormat="1" applyFont="1" applyAlignment="1">
      <alignment vertical="center"/>
    </xf>
    <xf numFmtId="9" fontId="83" fillId="0" borderId="13" xfId="3" applyFont="1" applyBorder="1" applyAlignment="1" applyProtection="1">
      <alignment vertical="center"/>
    </xf>
    <xf numFmtId="0" fontId="83" fillId="0" borderId="11" xfId="0" applyFont="1" applyBorder="1" applyAlignment="1">
      <alignment horizontal="center" vertical="center"/>
    </xf>
    <xf numFmtId="0" fontId="167" fillId="0" borderId="2" xfId="0" applyFont="1" applyBorder="1" applyAlignment="1">
      <alignment horizontal="right" vertical="center"/>
    </xf>
    <xf numFmtId="9" fontId="83" fillId="0" borderId="2" xfId="3" applyFont="1" applyBorder="1" applyAlignment="1" applyProtection="1">
      <alignment vertical="center"/>
    </xf>
    <xf numFmtId="9" fontId="83" fillId="22" borderId="2" xfId="3" applyFont="1" applyFill="1" applyBorder="1" applyAlignment="1" applyProtection="1">
      <alignment vertical="center"/>
    </xf>
    <xf numFmtId="9" fontId="83" fillId="0" borderId="4" xfId="3" applyFont="1" applyBorder="1" applyAlignment="1" applyProtection="1">
      <alignment vertical="center"/>
    </xf>
    <xf numFmtId="9" fontId="83" fillId="0" borderId="2" xfId="0" applyNumberFormat="1" applyFont="1" applyBorder="1" applyAlignment="1">
      <alignment vertical="center"/>
    </xf>
    <xf numFmtId="9" fontId="83" fillId="0" borderId="1" xfId="3" applyFont="1" applyBorder="1" applyAlignment="1" applyProtection="1">
      <alignment vertical="center"/>
    </xf>
    <xf numFmtId="0" fontId="112" fillId="0" borderId="0" xfId="0" quotePrefix="1" applyFont="1" applyAlignment="1">
      <alignment vertical="top"/>
    </xf>
    <xf numFmtId="49" fontId="287" fillId="0" borderId="0" xfId="0" quotePrefix="1" applyNumberFormat="1" applyFont="1" applyAlignment="1">
      <alignment vertical="center"/>
    </xf>
    <xf numFmtId="0" fontId="288" fillId="0" borderId="0" xfId="0" quotePrefix="1" applyFont="1" applyAlignment="1">
      <alignment vertical="top"/>
    </xf>
    <xf numFmtId="0" fontId="97" fillId="0" borderId="13" xfId="7" applyFont="1" applyBorder="1" applyAlignment="1">
      <alignment vertical="center"/>
    </xf>
    <xf numFmtId="0" fontId="97" fillId="0" borderId="2" xfId="7" applyFont="1" applyBorder="1" applyAlignment="1">
      <alignment vertical="center"/>
    </xf>
    <xf numFmtId="0" fontId="22" fillId="0" borderId="0" xfId="7" applyFont="1" applyAlignment="1">
      <alignment vertical="center"/>
    </xf>
    <xf numFmtId="0" fontId="97" fillId="0" borderId="0" xfId="7" applyFont="1" applyAlignment="1">
      <alignment vertical="center"/>
    </xf>
    <xf numFmtId="0" fontId="11" fillId="0" borderId="0" xfId="7" applyAlignment="1">
      <alignment vertical="center"/>
    </xf>
    <xf numFmtId="0" fontId="11" fillId="0" borderId="0" xfId="7"/>
    <xf numFmtId="0" fontId="97" fillId="0" borderId="0" xfId="7" applyFont="1"/>
    <xf numFmtId="0" fontId="297" fillId="0" borderId="0" xfId="7" applyFont="1" applyAlignment="1">
      <alignment horizontal="right" vertical="center"/>
    </xf>
    <xf numFmtId="0" fontId="97" fillId="0" borderId="0" xfId="7" applyFont="1" applyAlignment="1">
      <alignment horizontal="left" vertical="center"/>
    </xf>
    <xf numFmtId="0" fontId="144" fillId="0" borderId="0" xfId="7" applyFont="1" applyAlignment="1">
      <alignment vertical="center"/>
    </xf>
    <xf numFmtId="0" fontId="13" fillId="0" borderId="244" xfId="7" applyFont="1" applyBorder="1" applyAlignment="1">
      <alignment horizontal="center" vertical="center"/>
    </xf>
    <xf numFmtId="0" fontId="13" fillId="0" borderId="245" xfId="7" applyFont="1" applyBorder="1" applyAlignment="1">
      <alignment horizontal="center" vertical="center"/>
    </xf>
    <xf numFmtId="0" fontId="13" fillId="0" borderId="0" xfId="7" applyFont="1" applyAlignment="1">
      <alignment vertical="center"/>
    </xf>
    <xf numFmtId="0" fontId="13" fillId="0" borderId="0" xfId="7" applyFont="1" applyAlignment="1">
      <alignment horizontal="center" vertical="center"/>
    </xf>
    <xf numFmtId="0" fontId="144" fillId="0" borderId="15" xfId="7" applyFont="1" applyBorder="1" applyAlignment="1">
      <alignment vertical="center"/>
    </xf>
    <xf numFmtId="0" fontId="297" fillId="0" borderId="0" xfId="7" applyFont="1" applyAlignment="1">
      <alignment horizontal="left" vertical="center"/>
    </xf>
    <xf numFmtId="0" fontId="97" fillId="0" borderId="2" xfId="7" applyFont="1" applyBorder="1" applyAlignment="1">
      <alignment horizontal="center" vertical="center"/>
    </xf>
    <xf numFmtId="0" fontId="97" fillId="23" borderId="13" xfId="7" applyFont="1" applyFill="1" applyBorder="1" applyAlignment="1">
      <alignment horizontal="left" vertical="center"/>
    </xf>
    <xf numFmtId="9" fontId="0" fillId="23" borderId="246" xfId="8" applyFont="1" applyFill="1" applyBorder="1" applyAlignment="1" applyProtection="1">
      <alignment horizontal="center" vertical="center"/>
    </xf>
    <xf numFmtId="9" fontId="0" fillId="0" borderId="247" xfId="8" applyFont="1" applyBorder="1" applyAlignment="1" applyProtection="1">
      <alignment horizontal="center" vertical="center"/>
    </xf>
    <xf numFmtId="9" fontId="0" fillId="0" borderId="0" xfId="8" applyFont="1" applyFill="1" applyBorder="1" applyAlignment="1" applyProtection="1">
      <alignment horizontal="center" vertical="center"/>
    </xf>
    <xf numFmtId="0" fontId="97" fillId="0" borderId="15" xfId="7" applyFont="1" applyBorder="1" applyAlignment="1">
      <alignment vertical="center"/>
    </xf>
    <xf numFmtId="0" fontId="97" fillId="24" borderId="0" xfId="7" applyFont="1" applyFill="1" applyAlignment="1">
      <alignment horizontal="left" vertical="center"/>
    </xf>
    <xf numFmtId="0" fontId="97" fillId="24" borderId="14" xfId="7" applyFont="1" applyFill="1" applyBorder="1" applyAlignment="1">
      <alignment horizontal="left" vertical="center"/>
    </xf>
    <xf numFmtId="9" fontId="0" fillId="24" borderId="248" xfId="8" applyFont="1" applyFill="1" applyBorder="1" applyAlignment="1" applyProtection="1">
      <alignment horizontal="center" vertical="center"/>
    </xf>
    <xf numFmtId="9" fontId="0" fillId="0" borderId="249" xfId="8" applyFont="1" applyBorder="1" applyAlignment="1" applyProtection="1">
      <alignment horizontal="center" vertical="center"/>
    </xf>
    <xf numFmtId="0" fontId="97" fillId="0" borderId="12" xfId="7" applyFont="1" applyBorder="1" applyAlignment="1">
      <alignment vertical="center"/>
    </xf>
    <xf numFmtId="0" fontId="97" fillId="25" borderId="13" xfId="7" applyFont="1" applyFill="1" applyBorder="1" applyAlignment="1">
      <alignment horizontal="left" vertical="center"/>
    </xf>
    <xf numFmtId="0" fontId="97" fillId="25" borderId="0" xfId="7" applyFont="1" applyFill="1" applyAlignment="1">
      <alignment horizontal="left" vertical="center"/>
    </xf>
    <xf numFmtId="9" fontId="0" fillId="0" borderId="250" xfId="8" applyFont="1" applyBorder="1" applyAlignment="1" applyProtection="1">
      <alignment horizontal="center" vertical="center"/>
    </xf>
    <xf numFmtId="9" fontId="0" fillId="25" borderId="247" xfId="8" applyFont="1" applyFill="1" applyBorder="1" applyAlignment="1" applyProtection="1">
      <alignment horizontal="center" vertical="center"/>
    </xf>
    <xf numFmtId="0" fontId="97" fillId="0" borderId="16" xfId="7" applyFont="1" applyBorder="1" applyAlignment="1">
      <alignment vertical="center"/>
    </xf>
    <xf numFmtId="0" fontId="97" fillId="26" borderId="0" xfId="7" applyFont="1" applyFill="1" applyAlignment="1">
      <alignment horizontal="left" vertical="center"/>
    </xf>
    <xf numFmtId="9" fontId="0" fillId="26" borderId="249" xfId="8" applyFont="1" applyFill="1" applyBorder="1" applyAlignment="1" applyProtection="1">
      <alignment horizontal="center" vertical="center"/>
    </xf>
    <xf numFmtId="0" fontId="97" fillId="27" borderId="0" xfId="7" applyFont="1" applyFill="1" applyAlignment="1">
      <alignment horizontal="left" vertical="center"/>
    </xf>
    <xf numFmtId="9" fontId="0" fillId="27" borderId="249" xfId="8" applyFont="1" applyFill="1" applyBorder="1" applyAlignment="1" applyProtection="1">
      <alignment horizontal="center" vertical="center"/>
    </xf>
    <xf numFmtId="0" fontId="97" fillId="28" borderId="14" xfId="7" applyFont="1" applyFill="1" applyBorder="1" applyAlignment="1">
      <alignment horizontal="left" vertical="center"/>
    </xf>
    <xf numFmtId="9" fontId="0" fillId="28" borderId="251" xfId="8" applyFont="1" applyFill="1" applyBorder="1" applyAlignment="1" applyProtection="1">
      <alignment horizontal="center" vertical="center"/>
    </xf>
    <xf numFmtId="0" fontId="97" fillId="29" borderId="5" xfId="7" applyFont="1" applyFill="1" applyBorder="1" applyAlignment="1">
      <alignment horizontal="left" vertical="center"/>
    </xf>
    <xf numFmtId="0" fontId="97" fillId="29" borderId="14" xfId="7" applyFont="1" applyFill="1" applyBorder="1" applyAlignment="1">
      <alignment horizontal="left" vertical="center"/>
    </xf>
    <xf numFmtId="9" fontId="0" fillId="29" borderId="252" xfId="8" applyFont="1" applyFill="1" applyBorder="1" applyAlignment="1" applyProtection="1">
      <alignment horizontal="center" vertical="center"/>
    </xf>
    <xf numFmtId="9" fontId="0" fillId="0" borderId="251" xfId="8" applyFont="1" applyBorder="1" applyAlignment="1" applyProtection="1">
      <alignment horizontal="center" vertical="center"/>
    </xf>
    <xf numFmtId="0" fontId="144" fillId="0" borderId="0" xfId="7" applyFont="1" applyAlignment="1">
      <alignment horizontal="right" vertical="center"/>
    </xf>
    <xf numFmtId="9" fontId="13" fillId="30" borderId="250" xfId="8" applyFont="1" applyFill="1" applyBorder="1" applyAlignment="1" applyProtection="1">
      <alignment horizontal="center" vertical="center"/>
    </xf>
    <xf numFmtId="0" fontId="298" fillId="0" borderId="0" xfId="7" applyFont="1" applyAlignment="1">
      <alignment vertical="center"/>
    </xf>
    <xf numFmtId="0" fontId="298" fillId="0" borderId="2" xfId="7" applyFont="1" applyBorder="1" applyAlignment="1">
      <alignment vertical="center"/>
    </xf>
    <xf numFmtId="0" fontId="298" fillId="0" borderId="0" xfId="7" applyFont="1" applyAlignment="1">
      <alignment horizontal="left" vertical="center"/>
    </xf>
    <xf numFmtId="0" fontId="299" fillId="0" borderId="0" xfId="7" applyFont="1" applyAlignment="1">
      <alignment horizontal="right" vertical="center"/>
    </xf>
    <xf numFmtId="0" fontId="287" fillId="0" borderId="0" xfId="7" applyFont="1"/>
    <xf numFmtId="0" fontId="287" fillId="0" borderId="0" xfId="7" applyFont="1" applyAlignment="1">
      <alignment vertical="center"/>
    </xf>
    <xf numFmtId="9" fontId="287" fillId="0" borderId="253" xfId="8" applyFont="1" applyBorder="1" applyAlignment="1" applyProtection="1">
      <alignment horizontal="center" vertical="center"/>
    </xf>
    <xf numFmtId="9" fontId="287" fillId="0" borderId="254" xfId="8" applyFont="1" applyBorder="1" applyAlignment="1" applyProtection="1">
      <alignment horizontal="center" vertical="center"/>
    </xf>
    <xf numFmtId="9" fontId="287" fillId="0" borderId="0" xfId="8" applyFont="1" applyFill="1" applyBorder="1" applyAlignment="1" applyProtection="1">
      <alignment horizontal="center" vertical="center"/>
    </xf>
    <xf numFmtId="0" fontId="297" fillId="0" borderId="0" xfId="7" applyFont="1" applyAlignment="1">
      <alignment horizontal="left"/>
    </xf>
    <xf numFmtId="0" fontId="297" fillId="0" borderId="2" xfId="7" applyFont="1" applyBorder="1" applyAlignment="1">
      <alignment horizontal="left"/>
    </xf>
    <xf numFmtId="9" fontId="301" fillId="0" borderId="11" xfId="8" applyFont="1" applyBorder="1" applyAlignment="1" applyProtection="1">
      <alignment vertical="center"/>
    </xf>
    <xf numFmtId="9" fontId="302" fillId="0" borderId="14" xfId="8" applyFont="1" applyFill="1" applyBorder="1" applyAlignment="1" applyProtection="1">
      <alignment vertical="center"/>
    </xf>
    <xf numFmtId="9" fontId="302" fillId="0" borderId="0" xfId="8" applyFont="1" applyFill="1" applyBorder="1" applyAlignment="1" applyProtection="1">
      <alignment vertical="center"/>
    </xf>
    <xf numFmtId="0" fontId="303" fillId="0" borderId="17" xfId="7" applyFont="1" applyBorder="1" applyAlignment="1">
      <alignment vertical="center"/>
    </xf>
    <xf numFmtId="0" fontId="297" fillId="0" borderId="2" xfId="7" applyFont="1" applyBorder="1" applyAlignment="1">
      <alignment horizontal="left" vertical="center"/>
    </xf>
    <xf numFmtId="0" fontId="97" fillId="0" borderId="0" xfId="7" applyFont="1" applyAlignment="1">
      <alignment horizontal="right" vertical="center"/>
    </xf>
    <xf numFmtId="0" fontId="97" fillId="0" borderId="0" xfId="7" applyFont="1" applyAlignment="1">
      <alignment horizontal="right"/>
    </xf>
    <xf numFmtId="9" fontId="11" fillId="0" borderId="0" xfId="8" applyFont="1" applyFill="1" applyAlignment="1" applyProtection="1">
      <alignment vertical="center"/>
    </xf>
    <xf numFmtId="9" fontId="11" fillId="0" borderId="0" xfId="8" applyFont="1" applyFill="1" applyAlignment="1" applyProtection="1">
      <alignment horizontal="center" vertical="center"/>
    </xf>
    <xf numFmtId="9" fontId="11" fillId="0" borderId="0" xfId="8" applyFont="1" applyFill="1" applyBorder="1" applyAlignment="1" applyProtection="1">
      <alignment vertical="center"/>
    </xf>
    <xf numFmtId="1" fontId="97" fillId="0" borderId="0" xfId="7" applyNumberFormat="1" applyFont="1"/>
    <xf numFmtId="0" fontId="97" fillId="0" borderId="0" xfId="7" applyFont="1" applyAlignment="1">
      <alignment horizontal="left"/>
    </xf>
    <xf numFmtId="0" fontId="11" fillId="0" borderId="0" xfId="7" applyAlignment="1">
      <alignment horizontal="left"/>
    </xf>
    <xf numFmtId="167" fontId="97" fillId="0" borderId="0" xfId="7" applyNumberFormat="1" applyFont="1" applyAlignment="1">
      <alignment horizontal="center"/>
    </xf>
    <xf numFmtId="9" fontId="0" fillId="0" borderId="0" xfId="8" applyFont="1" applyAlignment="1" applyProtection="1">
      <alignment vertical="center"/>
    </xf>
    <xf numFmtId="0" fontId="130" fillId="31" borderId="0" xfId="7" applyFont="1" applyFill="1" applyAlignment="1">
      <alignment horizontal="left" vertical="center" indent="1"/>
    </xf>
    <xf numFmtId="0" fontId="130" fillId="0" borderId="2" xfId="7" applyFont="1" applyBorder="1" applyAlignment="1">
      <alignment horizontal="left" vertical="center" indent="1"/>
    </xf>
    <xf numFmtId="0" fontId="130" fillId="0" borderId="0" xfId="7" applyFont="1" applyAlignment="1">
      <alignment vertical="center"/>
    </xf>
    <xf numFmtId="0" fontId="97" fillId="0" borderId="2" xfId="7" quotePrefix="1" applyFont="1" applyBorder="1" applyAlignment="1">
      <alignment vertical="center"/>
    </xf>
    <xf numFmtId="0" fontId="97" fillId="0" borderId="0" xfId="7" quotePrefix="1" applyFont="1" applyAlignment="1">
      <alignment vertical="center"/>
    </xf>
    <xf numFmtId="0" fontId="13" fillId="0" borderId="256" xfId="7" applyFont="1" applyBorder="1" applyAlignment="1">
      <alignment horizontal="center" vertical="center"/>
    </xf>
    <xf numFmtId="0" fontId="13" fillId="0" borderId="257" xfId="7" applyFont="1" applyBorder="1" applyAlignment="1">
      <alignment horizontal="center" vertical="center"/>
    </xf>
    <xf numFmtId="9" fontId="0" fillId="23" borderId="258" xfId="8" applyFont="1" applyFill="1" applyBorder="1" applyAlignment="1" applyProtection="1">
      <alignment horizontal="center" vertical="center"/>
    </xf>
    <xf numFmtId="9" fontId="0" fillId="0" borderId="259" xfId="8" applyFont="1" applyBorder="1" applyAlignment="1" applyProtection="1">
      <alignment horizontal="center" vertical="center"/>
    </xf>
    <xf numFmtId="9" fontId="0" fillId="24" borderId="260" xfId="8" applyFont="1" applyFill="1" applyBorder="1" applyAlignment="1" applyProtection="1">
      <alignment horizontal="center" vertical="center"/>
    </xf>
    <xf numFmtId="9" fontId="0" fillId="0" borderId="261" xfId="8" applyFont="1" applyBorder="1" applyAlignment="1" applyProtection="1">
      <alignment horizontal="center" vertical="center"/>
    </xf>
    <xf numFmtId="9" fontId="0" fillId="0" borderId="262" xfId="8" applyFont="1" applyBorder="1" applyAlignment="1" applyProtection="1">
      <alignment horizontal="center" vertical="center"/>
    </xf>
    <xf numFmtId="9" fontId="0" fillId="25" borderId="259" xfId="8" applyFont="1" applyFill="1" applyBorder="1" applyAlignment="1" applyProtection="1">
      <alignment horizontal="center" vertical="center"/>
    </xf>
    <xf numFmtId="9" fontId="0" fillId="26" borderId="261" xfId="8" applyFont="1" applyFill="1" applyBorder="1" applyAlignment="1" applyProtection="1">
      <alignment horizontal="center" vertical="center"/>
    </xf>
    <xf numFmtId="9" fontId="0" fillId="27" borderId="261" xfId="8" applyFont="1" applyFill="1" applyBorder="1" applyAlignment="1" applyProtection="1">
      <alignment horizontal="center" vertical="center"/>
    </xf>
    <xf numFmtId="9" fontId="0" fillId="28" borderId="263" xfId="8" applyFont="1" applyFill="1" applyBorder="1" applyAlignment="1" applyProtection="1">
      <alignment horizontal="center" vertical="center"/>
    </xf>
    <xf numFmtId="9" fontId="0" fillId="29" borderId="264" xfId="8" applyFont="1" applyFill="1" applyBorder="1" applyAlignment="1" applyProtection="1">
      <alignment horizontal="center" vertical="center"/>
    </xf>
    <xf numFmtId="9" fontId="0" fillId="0" borderId="263" xfId="8" applyFont="1" applyBorder="1" applyAlignment="1" applyProtection="1">
      <alignment horizontal="center" vertical="center"/>
    </xf>
    <xf numFmtId="9" fontId="13" fillId="30" borderId="262" xfId="8" applyFont="1" applyFill="1" applyBorder="1" applyAlignment="1" applyProtection="1">
      <alignment horizontal="center" vertical="center"/>
    </xf>
    <xf numFmtId="9" fontId="287" fillId="0" borderId="265" xfId="8" applyFont="1" applyBorder="1" applyAlignment="1" applyProtection="1">
      <alignment horizontal="center" vertical="center"/>
    </xf>
    <xf numFmtId="9" fontId="287" fillId="0" borderId="266" xfId="8" applyFont="1" applyBorder="1" applyAlignment="1" applyProtection="1">
      <alignment horizontal="center" vertical="center"/>
    </xf>
    <xf numFmtId="167" fontId="11" fillId="0" borderId="0" xfId="7" applyNumberFormat="1" applyAlignment="1">
      <alignment horizontal="right"/>
    </xf>
    <xf numFmtId="9" fontId="97" fillId="0" borderId="0" xfId="8" applyFont="1" applyFill="1" applyAlignment="1" applyProtection="1">
      <alignment vertical="center"/>
    </xf>
    <xf numFmtId="0" fontId="144" fillId="32" borderId="14" xfId="7" quotePrefix="1" applyFont="1" applyFill="1" applyBorder="1" applyAlignment="1">
      <alignment vertical="center"/>
    </xf>
    <xf numFmtId="0" fontId="144" fillId="0" borderId="14" xfId="7" quotePrefix="1" applyFont="1" applyBorder="1" applyAlignment="1">
      <alignment vertical="center"/>
    </xf>
    <xf numFmtId="0" fontId="296" fillId="0" borderId="0" xfId="7" applyFont="1"/>
    <xf numFmtId="0" fontId="97" fillId="0" borderId="14" xfId="7" applyFont="1" applyBorder="1" applyAlignment="1">
      <alignment vertical="center"/>
    </xf>
    <xf numFmtId="0" fontId="144" fillId="0" borderId="0" xfId="7" applyFont="1" applyAlignment="1">
      <alignment horizontal="left" vertical="center"/>
    </xf>
    <xf numFmtId="0" fontId="297" fillId="0" borderId="14" xfId="7" applyFont="1" applyBorder="1" applyAlignment="1">
      <alignment horizontal="left" vertical="center"/>
    </xf>
    <xf numFmtId="0" fontId="297" fillId="0" borderId="5" xfId="7" applyFont="1" applyBorder="1" applyAlignment="1">
      <alignment horizontal="left" vertical="center"/>
    </xf>
    <xf numFmtId="0" fontId="304" fillId="0" borderId="0" xfId="7" applyFont="1"/>
    <xf numFmtId="0" fontId="97" fillId="0" borderId="13" xfId="7" applyFont="1" applyBorder="1" applyAlignment="1">
      <alignment horizontal="center" vertical="center"/>
    </xf>
    <xf numFmtId="0" fontId="220" fillId="0" borderId="0" xfId="7" applyFont="1" applyAlignment="1">
      <alignment vertical="top"/>
    </xf>
    <xf numFmtId="0" fontId="97" fillId="0" borderId="0" xfId="7" applyFont="1" applyAlignment="1">
      <alignment vertical="top"/>
    </xf>
    <xf numFmtId="0" fontId="97" fillId="0" borderId="0" xfId="7" applyFont="1" applyAlignment="1">
      <alignment horizontal="left" vertical="top"/>
    </xf>
    <xf numFmtId="14" fontId="97" fillId="0" borderId="0" xfId="7" applyNumberFormat="1" applyFont="1" applyAlignment="1">
      <alignment vertical="top"/>
    </xf>
    <xf numFmtId="0" fontId="106" fillId="0" borderId="0" xfId="7" applyFont="1" applyAlignment="1">
      <alignment vertical="top"/>
    </xf>
    <xf numFmtId="187" fontId="305" fillId="0" borderId="16" xfId="7" applyNumberFormat="1" applyFont="1" applyBorder="1" applyAlignment="1">
      <alignment vertical="center"/>
    </xf>
    <xf numFmtId="187" fontId="305" fillId="0" borderId="12" xfId="7" applyNumberFormat="1" applyFont="1" applyBorder="1" applyAlignment="1">
      <alignment vertical="center"/>
    </xf>
    <xf numFmtId="165" fontId="306" fillId="0" borderId="0" xfId="1" applyNumberFormat="1" applyFont="1" applyAlignment="1" applyProtection="1">
      <alignment vertical="center"/>
      <protection hidden="1"/>
    </xf>
    <xf numFmtId="1" fontId="6" fillId="0" borderId="9" xfId="0" applyNumberFormat="1" applyFont="1" applyBorder="1" applyAlignment="1" applyProtection="1">
      <alignment vertical="center" shrinkToFit="1"/>
      <protection hidden="1"/>
    </xf>
    <xf numFmtId="1" fontId="12" fillId="15" borderId="6" xfId="0" applyNumberFormat="1" applyFont="1" applyFill="1" applyBorder="1" applyAlignment="1" applyProtection="1">
      <alignment vertical="center" shrinkToFit="1"/>
      <protection hidden="1"/>
    </xf>
    <xf numFmtId="1" fontId="12" fillId="0" borderId="6" xfId="0" applyNumberFormat="1" applyFont="1" applyBorder="1" applyAlignment="1" applyProtection="1">
      <alignment vertical="center" shrinkToFit="1"/>
      <protection hidden="1"/>
    </xf>
    <xf numFmtId="1" fontId="12" fillId="0" borderId="4" xfId="0" applyNumberFormat="1" applyFont="1" applyBorder="1" applyAlignment="1" applyProtection="1">
      <alignment vertical="center" shrinkToFit="1"/>
      <protection hidden="1"/>
    </xf>
    <xf numFmtId="1" fontId="6" fillId="15" borderId="7" xfId="0" applyNumberFormat="1" applyFont="1" applyFill="1" applyBorder="1" applyAlignment="1" applyProtection="1">
      <alignment vertical="center" shrinkToFit="1"/>
      <protection hidden="1"/>
    </xf>
    <xf numFmtId="1" fontId="6" fillId="8" borderId="7" xfId="0" applyNumberFormat="1" applyFont="1" applyFill="1" applyBorder="1" applyAlignment="1" applyProtection="1">
      <alignment vertical="center" shrinkToFit="1"/>
      <protection hidden="1"/>
    </xf>
    <xf numFmtId="0" fontId="6" fillId="0" borderId="8" xfId="0" applyFont="1" applyBorder="1" applyAlignment="1" applyProtection="1">
      <alignment horizontal="center" vertical="center" shrinkToFit="1"/>
      <protection hidden="1"/>
    </xf>
    <xf numFmtId="9" fontId="6" fillId="0" borderId="9" xfId="0" applyNumberFormat="1" applyFont="1" applyBorder="1" applyAlignment="1" applyProtection="1">
      <alignment horizontal="center" vertical="center" shrinkToFit="1"/>
      <protection hidden="1"/>
    </xf>
    <xf numFmtId="1" fontId="12" fillId="4" borderId="6" xfId="0" applyNumberFormat="1" applyFont="1" applyFill="1" applyBorder="1" applyAlignment="1" applyProtection="1">
      <alignment vertical="center" shrinkToFit="1"/>
      <protection hidden="1"/>
    </xf>
    <xf numFmtId="1" fontId="6" fillId="4" borderId="6" xfId="0" applyNumberFormat="1" applyFont="1" applyFill="1" applyBorder="1" applyAlignment="1" applyProtection="1">
      <alignment vertical="center" shrinkToFit="1"/>
      <protection hidden="1"/>
    </xf>
    <xf numFmtId="1" fontId="6" fillId="0" borderId="78" xfId="0" applyNumberFormat="1" applyFont="1" applyBorder="1" applyAlignment="1" applyProtection="1">
      <alignment horizontal="right" vertical="center" shrinkToFit="1"/>
      <protection hidden="1"/>
    </xf>
    <xf numFmtId="1" fontId="15" fillId="0" borderId="79" xfId="0" applyNumberFormat="1" applyFont="1" applyBorder="1" applyAlignment="1" applyProtection="1">
      <alignment horizontal="right" vertical="center" shrinkToFit="1"/>
      <protection hidden="1"/>
    </xf>
    <xf numFmtId="1" fontId="6" fillId="0" borderId="6" xfId="0" applyNumberFormat="1" applyFont="1" applyBorder="1" applyAlignment="1" applyProtection="1">
      <alignment vertical="center" shrinkToFit="1"/>
      <protection hidden="1"/>
    </xf>
    <xf numFmtId="1" fontId="6" fillId="0" borderId="78" xfId="0" applyNumberFormat="1" applyFont="1" applyBorder="1" applyAlignment="1" applyProtection="1">
      <alignment vertical="center" shrinkToFit="1"/>
      <protection hidden="1"/>
    </xf>
    <xf numFmtId="1" fontId="15" fillId="0" borderId="79" xfId="0" applyNumberFormat="1" applyFont="1" applyBorder="1" applyAlignment="1" applyProtection="1">
      <alignment vertical="center" shrinkToFit="1"/>
      <protection hidden="1"/>
    </xf>
    <xf numFmtId="0" fontId="6" fillId="0" borderId="9" xfId="0" applyFont="1" applyBorder="1" applyAlignment="1" applyProtection="1">
      <alignment vertical="center" shrinkToFit="1"/>
      <protection hidden="1"/>
    </xf>
    <xf numFmtId="0" fontId="6" fillId="0" borderId="117" xfId="0" applyFont="1" applyBorder="1" applyAlignment="1" applyProtection="1">
      <alignment vertical="center" shrinkToFit="1"/>
      <protection hidden="1"/>
    </xf>
    <xf numFmtId="1" fontId="6" fillId="0" borderId="117" xfId="0" applyNumberFormat="1" applyFont="1" applyBorder="1" applyAlignment="1" applyProtection="1">
      <alignment vertical="center" shrinkToFit="1"/>
      <protection hidden="1"/>
    </xf>
    <xf numFmtId="1" fontId="6" fillId="0" borderId="80" xfId="0" applyNumberFormat="1" applyFont="1" applyBorder="1" applyAlignment="1" applyProtection="1">
      <alignment vertical="center" shrinkToFit="1"/>
      <protection hidden="1"/>
    </xf>
    <xf numFmtId="1" fontId="15" fillId="0" borderId="113" xfId="0" applyNumberFormat="1" applyFont="1" applyBorder="1" applyAlignment="1" applyProtection="1">
      <alignment vertical="center" shrinkToFit="1"/>
      <protection hidden="1"/>
    </xf>
    <xf numFmtId="1" fontId="6" fillId="0" borderId="110" xfId="0" applyNumberFormat="1" applyFont="1" applyBorder="1" applyAlignment="1" applyProtection="1">
      <alignment vertical="center" shrinkToFit="1"/>
      <protection hidden="1"/>
    </xf>
    <xf numFmtId="1" fontId="6" fillId="0" borderId="111" xfId="0" applyNumberFormat="1" applyFont="1" applyBorder="1" applyAlignment="1" applyProtection="1">
      <alignment vertical="center" shrinkToFit="1"/>
      <protection hidden="1"/>
    </xf>
    <xf numFmtId="1" fontId="15" fillId="0" borderId="112" xfId="0" applyNumberFormat="1" applyFont="1" applyBorder="1" applyAlignment="1" applyProtection="1">
      <alignment vertical="center" shrinkToFit="1"/>
      <protection hidden="1"/>
    </xf>
    <xf numFmtId="1" fontId="6" fillId="0" borderId="108" xfId="0" applyNumberFormat="1" applyFont="1" applyBorder="1" applyAlignment="1" applyProtection="1">
      <alignment vertical="center" shrinkToFit="1"/>
      <protection hidden="1"/>
    </xf>
    <xf numFmtId="1" fontId="15" fillId="0" borderId="109" xfId="0" applyNumberFormat="1" applyFont="1" applyBorder="1" applyAlignment="1" applyProtection="1">
      <alignment vertical="center" shrinkToFit="1"/>
      <protection hidden="1"/>
    </xf>
    <xf numFmtId="1" fontId="12" fillId="8" borderId="6" xfId="0" applyNumberFormat="1" applyFont="1" applyFill="1" applyBorder="1" applyAlignment="1" applyProtection="1">
      <alignment vertical="center" shrinkToFit="1"/>
      <protection hidden="1"/>
    </xf>
    <xf numFmtId="1" fontId="6" fillId="0" borderId="81" xfId="0" applyNumberFormat="1" applyFont="1" applyBorder="1" applyAlignment="1" applyProtection="1">
      <alignment vertical="center" shrinkToFit="1"/>
      <protection hidden="1"/>
    </xf>
    <xf numFmtId="1" fontId="15" fillId="0" borderId="47" xfId="0" applyNumberFormat="1" applyFont="1" applyBorder="1" applyAlignment="1" applyProtection="1">
      <alignment vertical="center" shrinkToFit="1"/>
      <protection hidden="1"/>
    </xf>
    <xf numFmtId="1" fontId="6" fillId="3" borderId="129" xfId="0" applyNumberFormat="1" applyFont="1" applyFill="1" applyBorder="1" applyAlignment="1" applyProtection="1">
      <alignment horizontal="center" vertical="center" shrinkToFit="1"/>
      <protection locked="0"/>
    </xf>
    <xf numFmtId="1" fontId="6" fillId="3" borderId="109" xfId="0" applyNumberFormat="1" applyFont="1" applyFill="1" applyBorder="1" applyAlignment="1" applyProtection="1">
      <alignment horizontal="center" vertical="center" shrinkToFit="1"/>
      <protection locked="0"/>
    </xf>
    <xf numFmtId="1" fontId="57" fillId="0" borderId="39" xfId="0" applyNumberFormat="1" applyFont="1" applyBorder="1" applyAlignment="1" applyProtection="1">
      <alignment vertical="center" shrinkToFit="1"/>
      <protection hidden="1"/>
    </xf>
    <xf numFmtId="1" fontId="57" fillId="0" borderId="109" xfId="0" applyNumberFormat="1" applyFont="1" applyBorder="1" applyAlignment="1" applyProtection="1">
      <alignment vertical="center" shrinkToFit="1"/>
      <protection hidden="1"/>
    </xf>
    <xf numFmtId="1" fontId="6" fillId="3" borderId="112" xfId="0" applyNumberFormat="1" applyFont="1" applyFill="1" applyBorder="1" applyAlignment="1" applyProtection="1">
      <alignment horizontal="center" vertical="center" shrinkToFit="1"/>
      <protection locked="0"/>
    </xf>
    <xf numFmtId="9" fontId="6" fillId="3" borderId="30" xfId="3" applyFont="1" applyFill="1" applyBorder="1" applyAlignment="1" applyProtection="1">
      <alignment horizontal="center" vertical="center" shrinkToFit="1"/>
      <protection locked="0"/>
    </xf>
    <xf numFmtId="1" fontId="6" fillId="0" borderId="1" xfId="0" applyNumberFormat="1" applyFont="1" applyBorder="1" applyAlignment="1" applyProtection="1">
      <alignment vertical="center" shrinkToFit="1"/>
      <protection hidden="1"/>
    </xf>
    <xf numFmtId="1" fontId="6" fillId="0" borderId="15" xfId="0" applyNumberFormat="1" applyFont="1" applyBorder="1" applyAlignment="1" applyProtection="1">
      <alignment vertical="center" shrinkToFit="1"/>
      <protection hidden="1"/>
    </xf>
    <xf numFmtId="1" fontId="6" fillId="0" borderId="11" xfId="0" applyNumberFormat="1" applyFont="1" applyBorder="1" applyAlignment="1" applyProtection="1">
      <alignment vertical="center" shrinkToFit="1"/>
      <protection hidden="1"/>
    </xf>
    <xf numFmtId="2" fontId="12" fillId="3" borderId="6" xfId="0" applyNumberFormat="1" applyFont="1" applyFill="1" applyBorder="1" applyAlignment="1" applyProtection="1">
      <alignment vertical="center" shrinkToFit="1"/>
      <protection locked="0"/>
    </xf>
    <xf numFmtId="1" fontId="12" fillId="3" borderId="6" xfId="0" applyNumberFormat="1" applyFont="1" applyFill="1" applyBorder="1" applyAlignment="1" applyProtection="1">
      <alignment vertical="center" shrinkToFit="1"/>
      <protection locked="0"/>
    </xf>
    <xf numFmtId="1" fontId="6" fillId="0" borderId="7" xfId="0" applyNumberFormat="1" applyFont="1" applyBorder="1" applyAlignment="1" applyProtection="1">
      <alignment vertical="center" shrinkToFit="1"/>
      <protection hidden="1"/>
    </xf>
    <xf numFmtId="2" fontId="54" fillId="3" borderId="6" xfId="0" applyNumberFormat="1" applyFont="1" applyFill="1" applyBorder="1" applyAlignment="1" applyProtection="1">
      <alignment vertical="center" shrinkToFit="1"/>
      <protection locked="0"/>
    </xf>
    <xf numFmtId="1" fontId="15" fillId="0" borderId="6" xfId="0" applyNumberFormat="1" applyFont="1" applyBorder="1" applyAlignment="1" applyProtection="1">
      <alignment vertical="center" shrinkToFit="1"/>
      <protection hidden="1"/>
    </xf>
    <xf numFmtId="2" fontId="12" fillId="3" borderId="8" xfId="0" applyNumberFormat="1" applyFont="1" applyFill="1" applyBorder="1" applyAlignment="1" applyProtection="1">
      <alignment vertical="center" shrinkToFit="1"/>
      <protection locked="0"/>
    </xf>
    <xf numFmtId="165" fontId="12" fillId="7" borderId="8" xfId="0" applyNumberFormat="1" applyFont="1" applyFill="1" applyBorder="1" applyAlignment="1" applyProtection="1">
      <alignment horizontal="right" vertical="center" shrinkToFit="1"/>
      <protection hidden="1"/>
    </xf>
    <xf numFmtId="1" fontId="12" fillId="8" borderId="4" xfId="0" applyNumberFormat="1" applyFont="1" applyFill="1" applyBorder="1" applyAlignment="1" applyProtection="1">
      <alignment vertical="center" shrinkToFit="1"/>
      <protection hidden="1"/>
    </xf>
    <xf numFmtId="1" fontId="6" fillId="0" borderId="4" xfId="0" applyNumberFormat="1" applyFont="1" applyBorder="1" applyAlignment="1" applyProtection="1">
      <alignment vertical="center" shrinkToFit="1"/>
      <protection hidden="1"/>
    </xf>
    <xf numFmtId="168" fontId="6" fillId="0" borderId="15" xfId="0" applyNumberFormat="1" applyFont="1" applyBorder="1" applyAlignment="1" applyProtection="1">
      <alignment vertical="center" shrinkToFit="1"/>
      <protection hidden="1"/>
    </xf>
    <xf numFmtId="1" fontId="12" fillId="4" borderId="4" xfId="0" applyNumberFormat="1" applyFont="1" applyFill="1" applyBorder="1" applyAlignment="1" applyProtection="1">
      <alignment vertical="center" shrinkToFit="1"/>
      <protection hidden="1"/>
    </xf>
    <xf numFmtId="2" fontId="6" fillId="0" borderId="17" xfId="0" applyNumberFormat="1" applyFont="1" applyBorder="1" applyAlignment="1" applyProtection="1">
      <alignment vertical="center" shrinkToFit="1"/>
      <protection hidden="1"/>
    </xf>
    <xf numFmtId="2" fontId="12" fillId="17" borderId="17" xfId="0" applyNumberFormat="1" applyFont="1" applyFill="1" applyBorder="1" applyAlignment="1" applyProtection="1">
      <alignment vertical="center" shrinkToFit="1"/>
      <protection hidden="1"/>
    </xf>
    <xf numFmtId="2" fontId="12" fillId="4" borderId="17" xfId="0" applyNumberFormat="1" applyFont="1" applyFill="1" applyBorder="1" applyAlignment="1" applyProtection="1">
      <alignment vertical="center" shrinkToFit="1"/>
      <protection hidden="1"/>
    </xf>
    <xf numFmtId="2" fontId="6" fillId="3" borderId="6" xfId="0" applyNumberFormat="1" applyFont="1" applyFill="1" applyBorder="1" applyAlignment="1" applyProtection="1">
      <alignment vertical="center" shrinkToFit="1"/>
      <protection locked="0"/>
    </xf>
    <xf numFmtId="1" fontId="12" fillId="3" borderId="4" xfId="0" applyNumberFormat="1" applyFont="1" applyFill="1" applyBorder="1" applyAlignment="1" applyProtection="1">
      <alignment horizontal="right" vertical="center" shrinkToFit="1"/>
      <protection locked="0"/>
    </xf>
    <xf numFmtId="1" fontId="10" fillId="8" borderId="7" xfId="0" applyNumberFormat="1" applyFont="1" applyFill="1" applyBorder="1" applyAlignment="1">
      <alignment vertical="center" shrinkToFit="1"/>
    </xf>
    <xf numFmtId="1" fontId="6" fillId="2" borderId="6" xfId="0" applyNumberFormat="1" applyFont="1" applyFill="1" applyBorder="1" applyAlignment="1" applyProtection="1">
      <alignment vertical="center" shrinkToFit="1"/>
      <protection hidden="1"/>
    </xf>
    <xf numFmtId="1" fontId="12" fillId="2" borderId="6" xfId="0" applyNumberFormat="1" applyFont="1" applyFill="1" applyBorder="1" applyAlignment="1" applyProtection="1">
      <alignment vertical="center" shrinkToFit="1"/>
      <protection hidden="1"/>
    </xf>
    <xf numFmtId="1" fontId="12" fillId="0" borderId="6" xfId="0" applyNumberFormat="1" applyFont="1" applyBorder="1" applyAlignment="1">
      <alignment vertical="center" shrinkToFit="1"/>
    </xf>
    <xf numFmtId="1" fontId="6" fillId="3" borderId="6" xfId="0" applyNumberFormat="1" applyFont="1" applyFill="1" applyBorder="1" applyAlignment="1" applyProtection="1">
      <alignment vertical="center" shrinkToFit="1"/>
      <protection locked="0"/>
    </xf>
    <xf numFmtId="0" fontId="6" fillId="0" borderId="17" xfId="0" applyFont="1" applyBorder="1" applyAlignment="1" applyProtection="1">
      <alignment vertical="center" shrinkToFit="1"/>
      <protection hidden="1"/>
    </xf>
    <xf numFmtId="1" fontId="6" fillId="2" borderId="6" xfId="0" applyNumberFormat="1" applyFont="1" applyFill="1" applyBorder="1" applyAlignment="1">
      <alignment vertical="center" shrinkToFit="1"/>
    </xf>
    <xf numFmtId="1" fontId="10" fillId="0" borderId="106" xfId="0" applyNumberFormat="1" applyFont="1" applyBorder="1" applyAlignment="1">
      <alignment vertical="center" shrinkToFit="1"/>
    </xf>
    <xf numFmtId="1" fontId="18" fillId="0" borderId="9" xfId="0" applyNumberFormat="1" applyFont="1" applyBorder="1" applyAlignment="1" applyProtection="1">
      <alignment vertical="center" shrinkToFit="1"/>
      <protection hidden="1"/>
    </xf>
    <xf numFmtId="1" fontId="18" fillId="0" borderId="57" xfId="0" applyNumberFormat="1" applyFont="1" applyBorder="1" applyAlignment="1" applyProtection="1">
      <alignment vertical="center" shrinkToFit="1"/>
      <protection hidden="1"/>
    </xf>
    <xf numFmtId="1" fontId="18" fillId="4" borderId="9" xfId="0" applyNumberFormat="1" applyFont="1" applyFill="1" applyBorder="1" applyAlignment="1" applyProtection="1">
      <alignment vertical="center" shrinkToFit="1"/>
      <protection hidden="1"/>
    </xf>
    <xf numFmtId="1" fontId="18" fillId="0" borderId="41" xfId="0" applyNumberFormat="1" applyFont="1" applyBorder="1" applyAlignment="1" applyProtection="1">
      <alignment vertical="center" shrinkToFit="1"/>
      <protection hidden="1"/>
    </xf>
    <xf numFmtId="1" fontId="2" fillId="0" borderId="6" xfId="0" applyNumberFormat="1" applyFont="1" applyBorder="1" applyAlignment="1" applyProtection="1">
      <alignment vertical="center" shrinkToFit="1"/>
      <protection hidden="1"/>
    </xf>
    <xf numFmtId="1" fontId="2" fillId="0" borderId="82" xfId="0" applyNumberFormat="1" applyFont="1" applyBorder="1" applyAlignment="1" applyProtection="1">
      <alignment vertical="center" shrinkToFit="1"/>
      <protection hidden="1"/>
    </xf>
    <xf numFmtId="1" fontId="18" fillId="0" borderId="6" xfId="0" applyNumberFormat="1" applyFont="1" applyBorder="1" applyAlignment="1" applyProtection="1">
      <alignment vertical="center" shrinkToFit="1"/>
      <protection hidden="1"/>
    </xf>
    <xf numFmtId="1" fontId="18" fillId="0" borderId="86" xfId="0" applyNumberFormat="1" applyFont="1" applyBorder="1" applyAlignment="1" applyProtection="1">
      <alignment vertical="center" shrinkToFit="1"/>
      <protection hidden="1"/>
    </xf>
    <xf numFmtId="1" fontId="2" fillId="5" borderId="133" xfId="0" applyNumberFormat="1" applyFont="1" applyFill="1" applyBorder="1" applyAlignment="1">
      <alignment vertical="center" shrinkToFit="1"/>
    </xf>
    <xf numFmtId="1" fontId="2" fillId="8" borderId="133" xfId="0" applyNumberFormat="1" applyFont="1" applyFill="1" applyBorder="1" applyAlignment="1">
      <alignment vertical="center" shrinkToFit="1"/>
    </xf>
    <xf numFmtId="1" fontId="2" fillId="8" borderId="184" xfId="0" applyNumberFormat="1" applyFont="1" applyFill="1" applyBorder="1" applyAlignment="1">
      <alignment vertical="center" shrinkToFit="1"/>
    </xf>
    <xf numFmtId="1" fontId="19" fillId="10" borderId="38" xfId="0" applyNumberFormat="1" applyFont="1" applyFill="1" applyBorder="1" applyAlignment="1" applyProtection="1">
      <alignment vertical="center" shrinkToFit="1"/>
      <protection hidden="1"/>
    </xf>
    <xf numFmtId="1" fontId="9" fillId="0" borderId="38" xfId="0" applyNumberFormat="1" applyFont="1" applyBorder="1" applyAlignment="1" applyProtection="1">
      <alignment vertical="center" shrinkToFit="1"/>
      <protection hidden="1"/>
    </xf>
    <xf numFmtId="1" fontId="9" fillId="0" borderId="87" xfId="0" applyNumberFormat="1" applyFont="1" applyBorder="1" applyAlignment="1" applyProtection="1">
      <alignment vertical="center" shrinkToFit="1"/>
      <protection hidden="1"/>
    </xf>
    <xf numFmtId="1" fontId="6" fillId="0" borderId="33" xfId="0" applyNumberFormat="1" applyFont="1" applyBorder="1" applyAlignment="1" applyProtection="1">
      <alignment vertical="center" shrinkToFit="1"/>
      <protection hidden="1"/>
    </xf>
    <xf numFmtId="1" fontId="7" fillId="0" borderId="83" xfId="0" applyNumberFormat="1" applyFont="1" applyBorder="1" applyAlignment="1" applyProtection="1">
      <alignment horizontal="right" vertical="center" shrinkToFit="1"/>
      <protection hidden="1"/>
    </xf>
    <xf numFmtId="1" fontId="7" fillId="0" borderId="83" xfId="0" applyNumberFormat="1" applyFont="1" applyBorder="1" applyAlignment="1" applyProtection="1">
      <alignment vertical="center" shrinkToFit="1"/>
      <protection hidden="1"/>
    </xf>
    <xf numFmtId="1" fontId="18" fillId="0" borderId="0" xfId="0" applyNumberFormat="1" applyFont="1" applyAlignment="1" applyProtection="1">
      <alignment horizontal="right" shrinkToFit="1"/>
      <protection hidden="1"/>
    </xf>
    <xf numFmtId="1" fontId="18" fillId="0" borderId="0" xfId="0" applyNumberFormat="1" applyFont="1" applyAlignment="1" applyProtection="1">
      <alignment shrinkToFit="1"/>
      <protection hidden="1"/>
    </xf>
    <xf numFmtId="1" fontId="200" fillId="0" borderId="0" xfId="0" applyNumberFormat="1" applyFont="1" applyAlignment="1" applyProtection="1">
      <alignment horizontal="right" shrinkToFit="1"/>
      <protection hidden="1"/>
    </xf>
    <xf numFmtId="1" fontId="136" fillId="0" borderId="0" xfId="0" applyNumberFormat="1" applyFont="1" applyAlignment="1" applyProtection="1">
      <alignment horizontal="right" shrinkToFit="1"/>
      <protection hidden="1"/>
    </xf>
    <xf numFmtId="1" fontId="136" fillId="0" borderId="0" xfId="0" applyNumberFormat="1" applyFont="1" applyAlignment="1" applyProtection="1">
      <alignment horizontal="left" shrinkToFit="1"/>
      <protection hidden="1"/>
    </xf>
    <xf numFmtId="1" fontId="137" fillId="0" borderId="0" xfId="0" applyNumberFormat="1" applyFont="1" applyAlignment="1" applyProtection="1">
      <alignment horizontal="right" vertical="center" shrinkToFit="1"/>
      <protection hidden="1"/>
    </xf>
    <xf numFmtId="0" fontId="15" fillId="3" borderId="0" xfId="0" applyFont="1" applyFill="1" applyAlignment="1" applyProtection="1">
      <alignment shrinkToFit="1"/>
      <protection locked="0"/>
    </xf>
    <xf numFmtId="0" fontId="15" fillId="3" borderId="0" xfId="0" applyFont="1" applyFill="1" applyAlignment="1" applyProtection="1">
      <alignment vertical="center" shrinkToFit="1"/>
      <protection locked="0"/>
    </xf>
    <xf numFmtId="0" fontId="15" fillId="7" borderId="0" xfId="0" applyFont="1" applyFill="1" applyAlignment="1" applyProtection="1">
      <alignment vertical="center" shrinkToFit="1"/>
      <protection hidden="1"/>
    </xf>
    <xf numFmtId="1" fontId="15" fillId="0" borderId="0" xfId="0" applyNumberFormat="1" applyFont="1" applyAlignment="1" applyProtection="1">
      <alignment horizontal="right" shrinkToFit="1"/>
      <protection hidden="1"/>
    </xf>
    <xf numFmtId="1" fontId="15" fillId="7" borderId="0" xfId="0" applyNumberFormat="1" applyFont="1" applyFill="1" applyAlignment="1" applyProtection="1">
      <alignment horizontal="right" shrinkToFit="1"/>
      <protection hidden="1"/>
    </xf>
    <xf numFmtId="169" fontId="6" fillId="0" borderId="0" xfId="0" applyNumberFormat="1" applyFont="1" applyAlignment="1" applyProtection="1">
      <alignment shrinkToFit="1"/>
      <protection hidden="1"/>
    </xf>
    <xf numFmtId="169" fontId="6" fillId="0" borderId="16" xfId="0" applyNumberFormat="1" applyFont="1" applyBorder="1" applyAlignment="1" applyProtection="1">
      <alignment shrinkToFit="1"/>
      <protection hidden="1"/>
    </xf>
    <xf numFmtId="169" fontId="12" fillId="0" borderId="9" xfId="0" applyNumberFormat="1" applyFont="1" applyBorder="1" applyAlignment="1" applyProtection="1">
      <alignment shrinkToFit="1"/>
      <protection hidden="1"/>
    </xf>
    <xf numFmtId="169" fontId="12" fillId="0" borderId="8" xfId="0" applyNumberFormat="1" applyFont="1" applyBorder="1" applyAlignment="1" applyProtection="1">
      <alignment shrinkToFit="1"/>
      <protection hidden="1"/>
    </xf>
    <xf numFmtId="0" fontId="6" fillId="3" borderId="110" xfId="0" applyFont="1" applyFill="1" applyBorder="1" applyAlignment="1" applyProtection="1">
      <alignment horizontal="center" shrinkToFit="1"/>
      <protection locked="0"/>
    </xf>
    <xf numFmtId="0" fontId="6" fillId="3" borderId="117" xfId="0" applyFont="1" applyFill="1" applyBorder="1" applyAlignment="1" applyProtection="1">
      <alignment horizontal="center" shrinkToFit="1"/>
      <protection locked="0"/>
    </xf>
    <xf numFmtId="0" fontId="6" fillId="3" borderId="8" xfId="0" applyFont="1" applyFill="1" applyBorder="1" applyAlignment="1" applyProtection="1">
      <alignment horizontal="center" shrinkToFit="1"/>
      <protection locked="0"/>
    </xf>
    <xf numFmtId="1" fontId="6" fillId="0" borderId="1" xfId="0" applyNumberFormat="1" applyFont="1" applyBorder="1" applyAlignment="1" applyProtection="1">
      <alignment shrinkToFit="1"/>
      <protection hidden="1"/>
    </xf>
    <xf numFmtId="1" fontId="6" fillId="0" borderId="13" xfId="0" applyNumberFormat="1" applyFont="1" applyBorder="1" applyAlignment="1" applyProtection="1">
      <alignment shrinkToFit="1"/>
      <protection hidden="1"/>
    </xf>
    <xf numFmtId="1" fontId="6" fillId="0" borderId="15" xfId="0" applyNumberFormat="1" applyFont="1" applyBorder="1" applyAlignment="1" applyProtection="1">
      <alignment shrinkToFit="1"/>
      <protection hidden="1"/>
    </xf>
    <xf numFmtId="1" fontId="6" fillId="0" borderId="2" xfId="0" applyNumberFormat="1" applyFont="1" applyBorder="1" applyAlignment="1" applyProtection="1">
      <alignment shrinkToFit="1"/>
      <protection hidden="1"/>
    </xf>
    <xf numFmtId="1" fontId="6" fillId="0" borderId="0" xfId="0" applyNumberFormat="1" applyFont="1" applyAlignment="1" applyProtection="1">
      <alignment shrinkToFit="1"/>
      <protection hidden="1"/>
    </xf>
    <xf numFmtId="1" fontId="6" fillId="0" borderId="16" xfId="0" applyNumberFormat="1" applyFont="1" applyBorder="1" applyAlignment="1" applyProtection="1">
      <alignment shrinkToFit="1"/>
      <protection hidden="1"/>
    </xf>
    <xf numFmtId="1" fontId="6" fillId="0" borderId="11" xfId="0" applyNumberFormat="1" applyFont="1" applyBorder="1" applyAlignment="1" applyProtection="1">
      <alignment shrinkToFit="1"/>
      <protection hidden="1"/>
    </xf>
    <xf numFmtId="1" fontId="6" fillId="0" borderId="14" xfId="0" applyNumberFormat="1" applyFont="1" applyBorder="1" applyAlignment="1" applyProtection="1">
      <alignment shrinkToFit="1"/>
      <protection hidden="1"/>
    </xf>
    <xf numFmtId="1" fontId="6" fillId="0" borderId="12" xfId="0" applyNumberFormat="1" applyFont="1" applyBorder="1" applyAlignment="1" applyProtection="1">
      <alignment shrinkToFit="1"/>
      <protection hidden="1"/>
    </xf>
    <xf numFmtId="1" fontId="6" fillId="0" borderId="0" xfId="0" applyNumberFormat="1" applyFont="1" applyAlignment="1" applyProtection="1">
      <alignment vertical="top" shrinkToFit="1"/>
      <protection hidden="1"/>
    </xf>
    <xf numFmtId="169" fontId="6" fillId="0" borderId="91" xfId="0" applyNumberFormat="1" applyFont="1" applyBorder="1" applyAlignment="1" applyProtection="1">
      <alignment horizontal="center" vertical="center" shrinkToFit="1"/>
      <protection hidden="1"/>
    </xf>
    <xf numFmtId="169" fontId="6" fillId="0" borderId="92" xfId="0" applyNumberFormat="1" applyFont="1" applyBorder="1" applyAlignment="1" applyProtection="1">
      <alignment horizontal="center" vertical="center" shrinkToFit="1"/>
      <protection hidden="1"/>
    </xf>
    <xf numFmtId="169" fontId="6" fillId="0" borderId="93" xfId="0" applyNumberFormat="1" applyFont="1" applyBorder="1" applyAlignment="1" applyProtection="1">
      <alignment horizontal="center" vertical="center" shrinkToFit="1"/>
      <protection hidden="1"/>
    </xf>
    <xf numFmtId="169" fontId="6" fillId="0" borderId="94" xfId="0" applyNumberFormat="1" applyFont="1" applyBorder="1" applyAlignment="1" applyProtection="1">
      <alignment horizontal="center" vertical="center" shrinkToFit="1"/>
      <protection hidden="1"/>
    </xf>
    <xf numFmtId="169" fontId="6" fillId="0" borderId="33" xfId="0" applyNumberFormat="1" applyFont="1" applyBorder="1" applyAlignment="1" applyProtection="1">
      <alignment horizontal="center" vertical="center" shrinkToFit="1"/>
      <protection hidden="1"/>
    </xf>
    <xf numFmtId="169" fontId="6" fillId="0" borderId="95" xfId="0" applyNumberFormat="1" applyFont="1" applyBorder="1" applyAlignment="1" applyProtection="1">
      <alignment horizontal="center" vertical="center" shrinkToFit="1"/>
      <protection hidden="1"/>
    </xf>
    <xf numFmtId="169" fontId="6" fillId="0" borderId="96" xfId="0" applyNumberFormat="1" applyFont="1" applyBorder="1" applyAlignment="1" applyProtection="1">
      <alignment horizontal="center" vertical="center" shrinkToFit="1"/>
      <protection hidden="1"/>
    </xf>
    <xf numFmtId="169" fontId="6" fillId="0" borderId="97" xfId="0" applyNumberFormat="1" applyFont="1" applyBorder="1" applyAlignment="1" applyProtection="1">
      <alignment horizontal="center" vertical="center" shrinkToFit="1"/>
      <protection hidden="1"/>
    </xf>
    <xf numFmtId="169" fontId="6" fillId="0" borderId="98" xfId="0" applyNumberFormat="1" applyFont="1" applyBorder="1" applyAlignment="1" applyProtection="1">
      <alignment horizontal="center" vertical="center" shrinkToFit="1"/>
      <protection hidden="1"/>
    </xf>
    <xf numFmtId="169" fontId="18" fillId="0" borderId="6" xfId="0" applyNumberFormat="1" applyFont="1" applyBorder="1" applyAlignment="1" applyProtection="1">
      <alignment horizontal="center" vertical="center" shrinkToFit="1"/>
      <protection hidden="1"/>
    </xf>
    <xf numFmtId="1" fontId="18" fillId="17" borderId="6" xfId="0" applyNumberFormat="1" applyFont="1" applyFill="1" applyBorder="1" applyAlignment="1" applyProtection="1">
      <alignment horizontal="center" vertical="center" shrinkToFit="1"/>
      <protection hidden="1"/>
    </xf>
    <xf numFmtId="1" fontId="33" fillId="3" borderId="194" xfId="2" applyNumberFormat="1" applyFont="1" applyFill="1" applyBorder="1" applyAlignment="1" applyProtection="1">
      <alignment horizontal="center" vertical="center" shrinkToFit="1"/>
      <protection locked="0"/>
    </xf>
    <xf numFmtId="1" fontId="33" fillId="3" borderId="194" xfId="0" applyNumberFormat="1" applyFont="1" applyFill="1" applyBorder="1" applyAlignment="1" applyProtection="1">
      <alignment horizontal="center" vertical="center" shrinkToFit="1"/>
      <protection locked="0"/>
    </xf>
    <xf numFmtId="1" fontId="33" fillId="3" borderId="197" xfId="0" applyNumberFormat="1" applyFont="1" applyFill="1" applyBorder="1" applyAlignment="1" applyProtection="1">
      <alignment horizontal="center" vertical="center" shrinkToFit="1"/>
      <protection locked="0"/>
    </xf>
    <xf numFmtId="169" fontId="59" fillId="3" borderId="194" xfId="0" applyNumberFormat="1" applyFont="1" applyFill="1" applyBorder="1" applyAlignment="1" applyProtection="1">
      <alignment horizontal="centerContinuous" vertical="center" shrinkToFit="1"/>
      <protection locked="0"/>
    </xf>
    <xf numFmtId="169" fontId="59" fillId="3" borderId="195" xfId="0" applyNumberFormat="1" applyFont="1" applyFill="1" applyBorder="1" applyAlignment="1" applyProtection="1">
      <alignment horizontal="centerContinuous" vertical="center" shrinkToFit="1"/>
      <protection locked="0"/>
    </xf>
    <xf numFmtId="169" fontId="59" fillId="3" borderId="196" xfId="0" applyNumberFormat="1" applyFont="1" applyFill="1" applyBorder="1" applyAlignment="1" applyProtection="1">
      <alignment horizontal="centerContinuous" vertical="center" shrinkToFit="1"/>
      <protection locked="0"/>
    </xf>
    <xf numFmtId="3" fontId="270" fillId="0" borderId="6" xfId="6" applyNumberFormat="1" applyFont="1" applyBorder="1" applyAlignment="1" applyProtection="1">
      <alignment horizontal="right" vertical="center" shrinkToFit="1"/>
      <protection hidden="1"/>
    </xf>
    <xf numFmtId="181" fontId="6" fillId="0" borderId="106" xfId="6" applyNumberFormat="1" applyFont="1" applyBorder="1" applyAlignment="1" applyProtection="1">
      <alignment vertical="center" shrinkToFit="1"/>
      <protection hidden="1"/>
    </xf>
    <xf numFmtId="181" fontId="6" fillId="0" borderId="31" xfId="6" applyNumberFormat="1" applyFont="1" applyBorder="1" applyAlignment="1" applyProtection="1">
      <alignment vertical="center" shrinkToFit="1"/>
      <protection hidden="1"/>
    </xf>
    <xf numFmtId="181" fontId="6" fillId="0" borderId="11" xfId="6" applyNumberFormat="1" applyFont="1" applyBorder="1" applyAlignment="1" applyProtection="1">
      <alignment vertical="center" shrinkToFit="1"/>
      <protection hidden="1"/>
    </xf>
    <xf numFmtId="182" fontId="6" fillId="0" borderId="81" xfId="6" applyNumberFormat="1" applyFont="1" applyBorder="1" applyAlignment="1" applyProtection="1">
      <alignment vertical="center" shrinkToFit="1"/>
      <protection hidden="1"/>
    </xf>
    <xf numFmtId="181" fontId="6" fillId="0" borderId="31" xfId="6" quotePrefix="1" applyNumberFormat="1" applyFont="1" applyBorder="1" applyAlignment="1" applyProtection="1">
      <alignment vertical="center" shrinkToFit="1"/>
      <protection hidden="1"/>
    </xf>
    <xf numFmtId="181" fontId="6" fillId="0" borderId="114" xfId="6" quotePrefix="1" applyNumberFormat="1" applyFont="1" applyBorder="1" applyAlignment="1" applyProtection="1">
      <alignment vertical="center" shrinkToFit="1"/>
      <protection hidden="1"/>
    </xf>
    <xf numFmtId="181" fontId="6" fillId="0" borderId="121" xfId="6" applyNumberFormat="1" applyFont="1" applyBorder="1" applyAlignment="1" applyProtection="1">
      <alignment vertical="center" shrinkToFit="1"/>
      <protection hidden="1"/>
    </xf>
    <xf numFmtId="181" fontId="6" fillId="0" borderId="114" xfId="6" applyNumberFormat="1" applyFont="1" applyBorder="1" applyAlignment="1" applyProtection="1">
      <alignment vertical="center" shrinkToFit="1"/>
      <protection hidden="1"/>
    </xf>
    <xf numFmtId="1" fontId="6" fillId="0" borderId="17" xfId="0" applyNumberFormat="1" applyFont="1" applyBorder="1" applyAlignment="1" applyProtection="1">
      <alignment shrinkToFit="1"/>
      <protection hidden="1"/>
    </xf>
    <xf numFmtId="0" fontId="6" fillId="0" borderId="0" xfId="0" applyFont="1" applyAlignment="1" applyProtection="1">
      <alignment shrinkToFit="1"/>
      <protection hidden="1"/>
    </xf>
    <xf numFmtId="1" fontId="6" fillId="0" borderId="17" xfId="0" quotePrefix="1" applyNumberFormat="1" applyFont="1" applyBorder="1" applyAlignment="1" applyProtection="1">
      <alignment shrinkToFit="1"/>
      <protection hidden="1"/>
    </xf>
    <xf numFmtId="181" fontId="6" fillId="0" borderId="117" xfId="6" applyNumberFormat="1" applyFont="1" applyBorder="1" applyAlignment="1" applyProtection="1">
      <alignment vertical="center" shrinkToFit="1"/>
      <protection hidden="1"/>
    </xf>
    <xf numFmtId="181" fontId="12" fillId="0" borderId="31" xfId="6" applyNumberFormat="1" applyFont="1" applyBorder="1" applyAlignment="1" applyProtection="1">
      <alignment vertical="center" shrinkToFit="1"/>
      <protection hidden="1"/>
    </xf>
    <xf numFmtId="180" fontId="6" fillId="0" borderId="0" xfId="6" applyNumberFormat="1" applyFont="1" applyAlignment="1" applyProtection="1">
      <alignment vertical="center" shrinkToFit="1"/>
      <protection locked="0"/>
    </xf>
    <xf numFmtId="181" fontId="6" fillId="0" borderId="0" xfId="6" applyNumberFormat="1" applyFont="1" applyAlignment="1" applyProtection="1">
      <alignment vertical="center" shrinkToFit="1"/>
      <protection hidden="1"/>
    </xf>
    <xf numFmtId="181" fontId="249" fillId="0" borderId="16" xfId="6" applyNumberFormat="1" applyFont="1" applyBorder="1" applyAlignment="1" applyProtection="1">
      <alignment vertical="center" shrinkToFit="1"/>
      <protection locked="0"/>
    </xf>
    <xf numFmtId="181" fontId="83" fillId="0" borderId="0" xfId="6" applyNumberFormat="1" applyFont="1" applyAlignment="1" applyProtection="1">
      <alignment vertical="center" shrinkToFit="1"/>
      <protection hidden="1"/>
    </xf>
    <xf numFmtId="181" fontId="6" fillId="0" borderId="118" xfId="6" applyNumberFormat="1" applyFont="1" applyBorder="1" applyAlignment="1" applyProtection="1">
      <alignment vertical="center" shrinkToFit="1"/>
      <protection hidden="1"/>
    </xf>
    <xf numFmtId="181" fontId="6" fillId="0" borderId="31" xfId="6" applyNumberFormat="1" applyFont="1" applyBorder="1" applyAlignment="1" applyProtection="1">
      <alignment vertical="center" shrinkToFit="1"/>
      <protection locked="0"/>
    </xf>
    <xf numFmtId="181" fontId="249" fillId="0" borderId="31" xfId="6" applyNumberFormat="1" applyFont="1" applyBorder="1" applyAlignment="1" applyProtection="1">
      <alignment vertical="center" shrinkToFit="1"/>
      <protection locked="0"/>
    </xf>
    <xf numFmtId="180" fontId="249" fillId="0" borderId="229" xfId="6" applyNumberFormat="1" applyFont="1" applyBorder="1" applyAlignment="1" applyProtection="1">
      <alignment vertical="center" shrinkToFit="1"/>
      <protection locked="0"/>
    </xf>
    <xf numFmtId="180" fontId="249" fillId="0" borderId="0" xfId="6" applyNumberFormat="1" applyFont="1" applyAlignment="1" applyProtection="1">
      <alignment vertical="center" shrinkToFit="1"/>
      <protection locked="0"/>
    </xf>
    <xf numFmtId="181" fontId="6" fillId="0" borderId="138" xfId="6" applyNumberFormat="1" applyFont="1" applyBorder="1" applyAlignment="1" applyProtection="1">
      <alignment vertical="center" shrinkToFit="1"/>
      <protection hidden="1"/>
    </xf>
    <xf numFmtId="181" fontId="6" fillId="0" borderId="138" xfId="6" applyNumberFormat="1" applyFont="1" applyBorder="1" applyAlignment="1" applyProtection="1">
      <alignment vertical="center" shrinkToFit="1"/>
      <protection locked="0"/>
    </xf>
    <xf numFmtId="181" fontId="6" fillId="0" borderId="132" xfId="6" applyNumberFormat="1" applyFont="1" applyBorder="1" applyAlignment="1" applyProtection="1">
      <alignment vertical="center" shrinkToFit="1"/>
      <protection hidden="1"/>
    </xf>
    <xf numFmtId="181" fontId="249" fillId="0" borderId="230" xfId="6" applyNumberFormat="1" applyFont="1" applyBorder="1" applyAlignment="1" applyProtection="1">
      <alignment vertical="center" shrinkToFit="1"/>
      <protection locked="0"/>
    </xf>
    <xf numFmtId="180" fontId="249" fillId="0" borderId="213" xfId="6" applyNumberFormat="1" applyFont="1" applyBorder="1" applyAlignment="1" applyProtection="1">
      <alignment vertical="center" shrinkToFit="1"/>
      <protection locked="0"/>
    </xf>
    <xf numFmtId="180" fontId="249" fillId="0" borderId="44" xfId="6" applyNumberFormat="1" applyFont="1" applyBorder="1" applyAlignment="1" applyProtection="1">
      <alignment vertical="center" shrinkToFit="1"/>
      <protection locked="0"/>
    </xf>
    <xf numFmtId="181" fontId="83" fillId="0" borderId="14" xfId="6" applyNumberFormat="1" applyFont="1" applyBorder="1" applyAlignment="1" applyProtection="1">
      <alignment vertical="center" shrinkToFit="1"/>
      <protection hidden="1"/>
    </xf>
    <xf numFmtId="181" fontId="6" fillId="0" borderId="14" xfId="6" applyNumberFormat="1" applyFont="1" applyBorder="1" applyAlignment="1" applyProtection="1">
      <alignment vertical="center" shrinkToFit="1"/>
      <protection hidden="1"/>
    </xf>
    <xf numFmtId="181" fontId="249" fillId="0" borderId="12" xfId="6" applyNumberFormat="1" applyFont="1" applyBorder="1" applyAlignment="1" applyProtection="1">
      <alignment vertical="center" shrinkToFit="1"/>
      <protection locked="0"/>
    </xf>
    <xf numFmtId="181" fontId="6" fillId="0" borderId="8" xfId="0" applyNumberFormat="1" applyFont="1" applyBorder="1" applyAlignment="1" applyProtection="1">
      <alignment vertical="center" shrinkToFit="1"/>
      <protection hidden="1"/>
    </xf>
    <xf numFmtId="181" fontId="6" fillId="0" borderId="4" xfId="0" applyNumberFormat="1" applyFont="1" applyBorder="1" applyAlignment="1" applyProtection="1">
      <alignment vertical="center" shrinkToFit="1"/>
      <protection hidden="1"/>
    </xf>
    <xf numFmtId="184" fontId="83" fillId="0" borderId="6" xfId="0" applyNumberFormat="1" applyFont="1" applyBorder="1" applyAlignment="1" applyProtection="1">
      <alignment horizontal="right" vertical="center" shrinkToFit="1"/>
      <protection hidden="1"/>
    </xf>
    <xf numFmtId="1" fontId="11" fillId="23" borderId="246" xfId="7" applyNumberFormat="1" applyFill="1" applyBorder="1" applyAlignment="1">
      <alignment horizontal="center" vertical="center" shrinkToFit="1"/>
    </xf>
    <xf numFmtId="1" fontId="11" fillId="0" borderId="247" xfId="7" applyNumberFormat="1" applyBorder="1" applyAlignment="1">
      <alignment horizontal="center" vertical="center" shrinkToFit="1"/>
    </xf>
    <xf numFmtId="1" fontId="11" fillId="24" borderId="248" xfId="7" applyNumberFormat="1" applyFill="1" applyBorder="1" applyAlignment="1">
      <alignment horizontal="center" vertical="center" shrinkToFit="1"/>
    </xf>
    <xf numFmtId="1" fontId="11" fillId="0" borderId="249" xfId="7" applyNumberFormat="1" applyBorder="1" applyAlignment="1">
      <alignment horizontal="center" vertical="center" shrinkToFit="1"/>
    </xf>
    <xf numFmtId="1" fontId="11" fillId="0" borderId="250" xfId="7" applyNumberFormat="1" applyBorder="1" applyAlignment="1">
      <alignment horizontal="center" vertical="center" shrinkToFit="1"/>
    </xf>
    <xf numFmtId="1" fontId="11" fillId="25" borderId="247" xfId="7" applyNumberFormat="1" applyFill="1" applyBorder="1" applyAlignment="1">
      <alignment horizontal="center" vertical="center" shrinkToFit="1"/>
    </xf>
    <xf numFmtId="1" fontId="11" fillId="26" borderId="249" xfId="7" applyNumberFormat="1" applyFill="1" applyBorder="1" applyAlignment="1">
      <alignment horizontal="center" vertical="center" shrinkToFit="1"/>
    </xf>
    <xf numFmtId="1" fontId="11" fillId="27" borderId="249" xfId="7" applyNumberFormat="1" applyFill="1" applyBorder="1" applyAlignment="1">
      <alignment horizontal="center" vertical="center" shrinkToFit="1"/>
    </xf>
    <xf numFmtId="1" fontId="11" fillId="28" borderId="251" xfId="7" applyNumberFormat="1" applyFill="1" applyBorder="1" applyAlignment="1">
      <alignment horizontal="center" vertical="center" shrinkToFit="1"/>
    </xf>
    <xf numFmtId="1" fontId="11" fillId="29" borderId="252" xfId="7" applyNumberFormat="1" applyFill="1" applyBorder="1" applyAlignment="1">
      <alignment horizontal="center" vertical="center" shrinkToFit="1"/>
    </xf>
    <xf numFmtId="1" fontId="11" fillId="0" borderId="251" xfId="7" applyNumberFormat="1" applyBorder="1" applyAlignment="1">
      <alignment horizontal="center" vertical="center" shrinkToFit="1"/>
    </xf>
    <xf numFmtId="1" fontId="13" fillId="0" borderId="250" xfId="7" applyNumberFormat="1" applyFont="1" applyBorder="1" applyAlignment="1">
      <alignment horizontal="center" vertical="center" shrinkToFit="1"/>
    </xf>
    <xf numFmtId="1" fontId="11" fillId="0" borderId="247" xfId="7" applyNumberFormat="1" applyBorder="1" applyAlignment="1">
      <alignment vertical="center" shrinkToFit="1"/>
    </xf>
    <xf numFmtId="1" fontId="300" fillId="0" borderId="253" xfId="7" applyNumberFormat="1" applyFont="1" applyBorder="1" applyAlignment="1">
      <alignment horizontal="center" vertical="center" shrinkToFit="1"/>
    </xf>
    <xf numFmtId="1" fontId="300" fillId="0" borderId="254" xfId="7" applyNumberFormat="1" applyFont="1" applyBorder="1" applyAlignment="1">
      <alignment horizontal="center" vertical="center" shrinkToFit="1"/>
    </xf>
    <xf numFmtId="0" fontId="11" fillId="0" borderId="0" xfId="7" applyAlignment="1">
      <alignment vertical="center" shrinkToFit="1"/>
    </xf>
    <xf numFmtId="1" fontId="11" fillId="0" borderId="0" xfId="7" applyNumberFormat="1" applyAlignment="1">
      <alignment horizontal="center" vertical="center" shrinkToFit="1"/>
    </xf>
    <xf numFmtId="0" fontId="11" fillId="0" borderId="0" xfId="7" applyAlignment="1">
      <alignment shrinkToFit="1"/>
    </xf>
    <xf numFmtId="1" fontId="11" fillId="0" borderId="0" xfId="7" applyNumberFormat="1" applyAlignment="1">
      <alignment horizontal="right" shrinkToFit="1"/>
    </xf>
    <xf numFmtId="1" fontId="11" fillId="23" borderId="258" xfId="7" applyNumberFormat="1" applyFill="1" applyBorder="1" applyAlignment="1">
      <alignment horizontal="center" vertical="center" shrinkToFit="1"/>
    </xf>
    <xf numFmtId="1" fontId="11" fillId="0" borderId="259" xfId="7" applyNumberFormat="1" applyBorder="1" applyAlignment="1">
      <alignment horizontal="center" vertical="center" shrinkToFit="1"/>
    </xf>
    <xf numFmtId="1" fontId="11" fillId="24" borderId="260" xfId="7" applyNumberFormat="1" applyFill="1" applyBorder="1" applyAlignment="1">
      <alignment horizontal="center" vertical="center" shrinkToFit="1"/>
    </xf>
    <xf numFmtId="1" fontId="11" fillId="0" borderId="261" xfId="7" applyNumberFormat="1" applyBorder="1" applyAlignment="1">
      <alignment horizontal="center" vertical="center" shrinkToFit="1"/>
    </xf>
    <xf numFmtId="1" fontId="11" fillId="0" borderId="262" xfId="7" applyNumberFormat="1" applyBorder="1" applyAlignment="1">
      <alignment horizontal="center" vertical="center" shrinkToFit="1"/>
    </xf>
    <xf numFmtId="1" fontId="11" fillId="25" borderId="259" xfId="7" applyNumberFormat="1" applyFill="1" applyBorder="1" applyAlignment="1">
      <alignment horizontal="center" vertical="center" shrinkToFit="1"/>
    </xf>
    <xf numFmtId="1" fontId="11" fillId="26" borderId="261" xfId="7" applyNumberFormat="1" applyFill="1" applyBorder="1" applyAlignment="1">
      <alignment horizontal="center" vertical="center" shrinkToFit="1"/>
    </xf>
    <xf numFmtId="1" fontId="11" fillId="27" borderId="261" xfId="7" applyNumberFormat="1" applyFill="1" applyBorder="1" applyAlignment="1">
      <alignment horizontal="center" vertical="center" shrinkToFit="1"/>
    </xf>
    <xf numFmtId="1" fontId="11" fillId="28" borderId="263" xfId="7" applyNumberFormat="1" applyFill="1" applyBorder="1" applyAlignment="1">
      <alignment horizontal="center" vertical="center" shrinkToFit="1"/>
    </xf>
    <xf numFmtId="1" fontId="11" fillId="29" borderId="264" xfId="7" applyNumberFormat="1" applyFill="1" applyBorder="1" applyAlignment="1">
      <alignment horizontal="center" vertical="center" shrinkToFit="1"/>
    </xf>
    <xf numFmtId="1" fontId="11" fillId="0" borderId="263" xfId="7" applyNumberFormat="1" applyBorder="1" applyAlignment="1">
      <alignment horizontal="center" vertical="center" shrinkToFit="1"/>
    </xf>
    <xf numFmtId="1" fontId="11" fillId="0" borderId="259" xfId="7" applyNumberFormat="1" applyBorder="1" applyAlignment="1">
      <alignment vertical="center" shrinkToFit="1"/>
    </xf>
    <xf numFmtId="1" fontId="300" fillId="0" borderId="265" xfId="7" applyNumberFormat="1" applyFont="1" applyBorder="1" applyAlignment="1">
      <alignment horizontal="center" vertical="center" shrinkToFit="1"/>
    </xf>
    <xf numFmtId="1" fontId="300" fillId="0" borderId="266" xfId="7" applyNumberFormat="1" applyFont="1" applyBorder="1" applyAlignment="1">
      <alignment horizontal="center" vertical="center" shrinkToFit="1"/>
    </xf>
    <xf numFmtId="1" fontId="297" fillId="0" borderId="13" xfId="7" applyNumberFormat="1" applyFont="1" applyBorder="1" applyAlignment="1">
      <alignment horizontal="center" vertical="center" shrinkToFit="1"/>
    </xf>
    <xf numFmtId="1" fontId="297" fillId="0" borderId="0" xfId="7" applyNumberFormat="1" applyFont="1" applyAlignment="1">
      <alignment horizontal="center" vertical="center" shrinkToFit="1"/>
    </xf>
    <xf numFmtId="1" fontId="297" fillId="0" borderId="14" xfId="7" applyNumberFormat="1" applyFont="1" applyBorder="1" applyAlignment="1">
      <alignment horizontal="center" vertical="center" shrinkToFit="1"/>
    </xf>
    <xf numFmtId="1" fontId="297" fillId="0" borderId="5" xfId="7" applyNumberFormat="1" applyFont="1" applyBorder="1" applyAlignment="1">
      <alignment horizontal="center" vertical="center" shrinkToFit="1"/>
    </xf>
    <xf numFmtId="1" fontId="297" fillId="0" borderId="0" xfId="7" applyNumberFormat="1" applyFont="1" applyAlignment="1">
      <alignment vertical="center" shrinkToFit="1"/>
    </xf>
    <xf numFmtId="1" fontId="97" fillId="0" borderId="0" xfId="7" applyNumberFormat="1" applyFont="1" applyAlignment="1">
      <alignment vertical="center" shrinkToFit="1"/>
    </xf>
    <xf numFmtId="1" fontId="144" fillId="0" borderId="0" xfId="7" applyNumberFormat="1" applyFont="1" applyAlignment="1">
      <alignment vertical="center" shrinkToFit="1"/>
    </xf>
    <xf numFmtId="1" fontId="130" fillId="31" borderId="0" xfId="7" applyNumberFormat="1" applyFont="1" applyFill="1" applyAlignment="1">
      <alignment horizontal="center" vertical="center" shrinkToFit="1"/>
    </xf>
    <xf numFmtId="1" fontId="144" fillId="32" borderId="14" xfId="7" applyNumberFormat="1" applyFont="1" applyFill="1" applyBorder="1" applyAlignment="1">
      <alignment vertical="center" shrinkToFit="1"/>
    </xf>
    <xf numFmtId="1" fontId="144" fillId="25" borderId="14" xfId="7" applyNumberFormat="1" applyFont="1" applyFill="1" applyBorder="1" applyAlignment="1">
      <alignment vertical="center" shrinkToFit="1"/>
    </xf>
    <xf numFmtId="1" fontId="12" fillId="3" borderId="4" xfId="0" applyNumberFormat="1" applyFont="1" applyFill="1" applyBorder="1" applyAlignment="1" applyProtection="1">
      <alignment vertical="center" shrinkToFit="1"/>
      <protection locked="0"/>
    </xf>
    <xf numFmtId="2" fontId="97" fillId="0" borderId="22" xfId="0" applyNumberFormat="1" applyFont="1" applyBorder="1"/>
    <xf numFmtId="2" fontId="11" fillId="0" borderId="0" xfId="0" applyNumberFormat="1" applyFont="1" applyAlignment="1" applyProtection="1">
      <alignment horizontal="center" vertical="center"/>
      <protection hidden="1"/>
    </xf>
    <xf numFmtId="0" fontId="106" fillId="0" borderId="0" xfId="5" applyFont="1" applyAlignment="1">
      <alignment horizontal="center" vertical="top"/>
    </xf>
    <xf numFmtId="1" fontId="13" fillId="7" borderId="2" xfId="5" applyNumberFormat="1" applyFont="1" applyFill="1" applyBorder="1" applyAlignment="1">
      <alignment horizontal="center"/>
    </xf>
    <xf numFmtId="3" fontId="13" fillId="7" borderId="39" xfId="5" applyNumberFormat="1" applyFont="1" applyFill="1" applyBorder="1" applyAlignment="1">
      <alignment horizontal="center"/>
    </xf>
    <xf numFmtId="3" fontId="13" fillId="0" borderId="39" xfId="5" applyNumberFormat="1" applyFont="1" applyBorder="1" applyAlignment="1">
      <alignment horizontal="center"/>
    </xf>
    <xf numFmtId="3" fontId="11" fillId="0" borderId="56" xfId="5" applyNumberFormat="1" applyFont="1" applyBorder="1" applyAlignment="1">
      <alignment horizontal="center"/>
    </xf>
    <xf numFmtId="1" fontId="135" fillId="7" borderId="2" xfId="5" applyNumberFormat="1" applyFont="1" applyFill="1" applyBorder="1" applyAlignment="1">
      <alignment horizontal="center"/>
    </xf>
    <xf numFmtId="0" fontId="83" fillId="0" borderId="39" xfId="5" applyFont="1" applyBorder="1" applyAlignment="1">
      <alignment horizontal="center"/>
    </xf>
    <xf numFmtId="174" fontId="135" fillId="12" borderId="39" xfId="5" applyNumberFormat="1" applyFont="1" applyFill="1" applyBorder="1"/>
    <xf numFmtId="165" fontId="135" fillId="12" borderId="0" xfId="5" quotePrefix="1" applyNumberFormat="1" applyFont="1" applyFill="1"/>
    <xf numFmtId="174" fontId="135" fillId="12" borderId="0" xfId="5" applyNumberFormat="1" applyFont="1" applyFill="1" applyAlignment="1">
      <alignment horizontal="left"/>
    </xf>
    <xf numFmtId="3" fontId="135" fillId="7" borderId="39" xfId="5" applyNumberFormat="1" applyFont="1" applyFill="1" applyBorder="1" applyAlignment="1">
      <alignment horizontal="center"/>
    </xf>
    <xf numFmtId="3" fontId="135" fillId="0" borderId="39" xfId="5" applyNumberFormat="1" applyFont="1" applyBorder="1" applyAlignment="1">
      <alignment horizontal="center"/>
    </xf>
    <xf numFmtId="3" fontId="83" fillId="0" borderId="56" xfId="5" applyNumberFormat="1" applyFont="1" applyBorder="1" applyAlignment="1">
      <alignment horizontal="center"/>
    </xf>
    <xf numFmtId="0" fontId="83" fillId="0" borderId="0" xfId="5" applyFont="1" applyAlignment="1">
      <alignment horizontal="right"/>
    </xf>
    <xf numFmtId="0" fontId="2" fillId="0" borderId="11" xfId="5" applyFont="1" applyBorder="1" applyAlignment="1">
      <alignment horizontal="centerContinuous" vertical="center"/>
    </xf>
    <xf numFmtId="165" fontId="83" fillId="0" borderId="0" xfId="6" applyFont="1" applyAlignment="1" applyProtection="1">
      <alignment vertical="center"/>
      <protection hidden="1"/>
    </xf>
    <xf numFmtId="180" fontId="167" fillId="0" borderId="0" xfId="6" applyNumberFormat="1" applyFont="1" applyAlignment="1" applyProtection="1">
      <alignment vertical="top"/>
      <protection hidden="1"/>
    </xf>
    <xf numFmtId="0" fontId="311" fillId="0" borderId="0" xfId="0" applyFont="1" applyProtection="1">
      <protection hidden="1"/>
    </xf>
    <xf numFmtId="0" fontId="311" fillId="0" borderId="0" xfId="0" applyFont="1" applyAlignment="1" applyProtection="1">
      <alignment vertical="top"/>
      <protection hidden="1"/>
    </xf>
    <xf numFmtId="0" fontId="18" fillId="33" borderId="0" xfId="0" applyFont="1" applyFill="1" applyProtection="1">
      <protection hidden="1"/>
    </xf>
    <xf numFmtId="0" fontId="314" fillId="0" borderId="0" xfId="0" applyFont="1" applyProtection="1">
      <protection hidden="1"/>
    </xf>
    <xf numFmtId="0" fontId="314" fillId="0" borderId="0" xfId="0" applyFont="1" applyAlignment="1" applyProtection="1">
      <alignment vertical="top"/>
      <protection hidden="1"/>
    </xf>
    <xf numFmtId="165" fontId="100" fillId="0" borderId="0" xfId="6" applyFont="1" applyAlignment="1" applyProtection="1">
      <alignment vertical="center"/>
      <protection hidden="1"/>
    </xf>
    <xf numFmtId="0" fontId="170" fillId="7" borderId="0" xfId="0" applyFont="1" applyFill="1" applyAlignment="1" applyProtection="1">
      <alignment horizontal="center" vertical="center"/>
      <protection hidden="1"/>
    </xf>
    <xf numFmtId="0" fontId="298" fillId="0" borderId="0" xfId="0" applyFont="1"/>
    <xf numFmtId="0" fontId="110" fillId="0" borderId="0" xfId="1" applyFont="1" applyBorder="1" applyAlignment="1" applyProtection="1">
      <alignment horizontal="centerContinuous" vertical="top" wrapText="1"/>
    </xf>
    <xf numFmtId="0" fontId="317" fillId="0" borderId="0" xfId="1" applyFont="1" applyBorder="1" applyAlignment="1" applyProtection="1">
      <alignment horizontal="centerContinuous" vertical="top"/>
    </xf>
    <xf numFmtId="0" fontId="96" fillId="0" borderId="0" xfId="1" applyAlignment="1" applyProtection="1">
      <alignment horizontal="centerContinuous"/>
      <protection hidden="1"/>
    </xf>
    <xf numFmtId="0" fontId="101" fillId="0" borderId="0" xfId="0" applyFont="1" applyAlignment="1" applyProtection="1">
      <alignment horizontal="centerContinuous"/>
      <protection hidden="1"/>
    </xf>
    <xf numFmtId="0" fontId="6" fillId="0" borderId="15" xfId="0" applyFont="1" applyBorder="1" applyAlignment="1" applyProtection="1">
      <alignment vertical="center"/>
      <protection hidden="1"/>
    </xf>
    <xf numFmtId="0" fontId="6" fillId="0" borderId="2" xfId="0" quotePrefix="1" applyFont="1" applyBorder="1" applyAlignment="1" applyProtection="1">
      <alignment vertical="center"/>
      <protection hidden="1"/>
    </xf>
    <xf numFmtId="0" fontId="18" fillId="0" borderId="1" xfId="0" quotePrefix="1" applyFont="1" applyBorder="1" applyAlignment="1" applyProtection="1">
      <alignment vertical="center"/>
      <protection hidden="1"/>
    </xf>
    <xf numFmtId="0" fontId="83" fillId="0" borderId="56" xfId="5" applyFont="1" applyBorder="1" applyAlignment="1">
      <alignment horizontal="center" vertical="center"/>
    </xf>
    <xf numFmtId="3" fontId="13" fillId="12" borderId="0" xfId="5" applyNumberFormat="1" applyFont="1" applyFill="1" applyAlignment="1">
      <alignment horizontal="left"/>
    </xf>
    <xf numFmtId="3" fontId="13" fillId="12" borderId="39" xfId="5" applyNumberFormat="1" applyFont="1" applyFill="1" applyBorder="1"/>
    <xf numFmtId="3" fontId="13" fillId="12" borderId="46" xfId="5" applyNumberFormat="1" applyFont="1" applyFill="1" applyBorder="1" applyAlignment="1">
      <alignment vertical="center"/>
    </xf>
    <xf numFmtId="3" fontId="13" fillId="12" borderId="5" xfId="5" applyNumberFormat="1" applyFont="1" applyFill="1" applyBorder="1" applyAlignment="1">
      <alignment horizontal="left" vertical="center"/>
    </xf>
    <xf numFmtId="180" fontId="135" fillId="0" borderId="11" xfId="6" applyNumberFormat="1" applyFont="1" applyBorder="1" applyAlignment="1" applyProtection="1">
      <alignment horizontal="centerContinuous" vertical="center"/>
      <protection hidden="1"/>
    </xf>
    <xf numFmtId="182" fontId="83" fillId="0" borderId="11" xfId="6" quotePrefix="1" applyNumberFormat="1" applyFont="1" applyBorder="1" applyAlignment="1" applyProtection="1">
      <alignment horizontal="centerContinuous" vertical="center"/>
      <protection hidden="1"/>
    </xf>
    <xf numFmtId="165" fontId="83" fillId="0" borderId="12" xfId="6" applyFont="1" applyBorder="1" applyAlignment="1" applyProtection="1">
      <alignment horizontal="centerContinuous" vertical="center"/>
      <protection hidden="1"/>
    </xf>
    <xf numFmtId="180" fontId="83" fillId="0" borderId="11" xfId="6" quotePrefix="1" applyNumberFormat="1" applyFont="1" applyBorder="1" applyAlignment="1" applyProtection="1">
      <alignment horizontal="centerContinuous" vertical="center"/>
      <protection hidden="1"/>
    </xf>
    <xf numFmtId="165" fontId="83" fillId="0" borderId="14" xfId="6" applyFont="1" applyBorder="1" applyAlignment="1" applyProtection="1">
      <alignment horizontal="centerContinuous" vertical="center"/>
      <protection hidden="1"/>
    </xf>
    <xf numFmtId="180" fontId="83" fillId="0" borderId="4" xfId="6" quotePrefix="1" applyNumberFormat="1" applyFont="1" applyBorder="1" applyAlignment="1" applyProtection="1">
      <alignment horizontal="centerContinuous" vertical="center"/>
      <protection hidden="1"/>
    </xf>
    <xf numFmtId="165" fontId="83" fillId="0" borderId="17" xfId="6" applyFont="1" applyBorder="1" applyAlignment="1" applyProtection="1">
      <alignment horizontal="centerContinuous" vertical="center"/>
      <protection hidden="1"/>
    </xf>
    <xf numFmtId="0" fontId="12" fillId="0" borderId="2" xfId="0" applyFont="1" applyBorder="1" applyAlignment="1" applyProtection="1">
      <alignment horizontal="centerContinuous"/>
      <protection hidden="1"/>
    </xf>
    <xf numFmtId="0" fontId="12" fillId="0" borderId="16" xfId="0" applyFont="1" applyBorder="1" applyAlignment="1" applyProtection="1">
      <alignment horizontal="centerContinuous" vertical="center"/>
      <protection hidden="1"/>
    </xf>
    <xf numFmtId="182" fontId="83" fillId="0" borderId="11" xfId="6" applyNumberFormat="1" applyFont="1" applyBorder="1" applyAlignment="1" applyProtection="1">
      <alignment horizontal="centerContinuous" vertical="center"/>
      <protection hidden="1"/>
    </xf>
    <xf numFmtId="0" fontId="11" fillId="22" borderId="8" xfId="0" applyFont="1" applyFill="1" applyBorder="1"/>
    <xf numFmtId="0" fontId="11" fillId="22" borderId="0" xfId="0" applyFont="1" applyFill="1" applyAlignment="1">
      <alignment horizontal="center"/>
    </xf>
    <xf numFmtId="181" fontId="6" fillId="0" borderId="78" xfId="6" applyNumberFormat="1" applyFont="1" applyBorder="1" applyAlignment="1" applyProtection="1">
      <alignment vertical="center" shrinkToFit="1"/>
      <protection hidden="1"/>
    </xf>
    <xf numFmtId="181" fontId="6" fillId="31" borderId="58" xfId="6" applyNumberFormat="1" applyFont="1" applyFill="1" applyBorder="1" applyAlignment="1" applyProtection="1">
      <alignment vertical="center" shrinkToFit="1"/>
      <protection hidden="1"/>
    </xf>
    <xf numFmtId="1" fontId="6" fillId="31" borderId="43" xfId="6" applyNumberFormat="1" applyFont="1" applyFill="1" applyBorder="1" applyAlignment="1" applyProtection="1">
      <alignment vertical="center"/>
      <protection hidden="1"/>
    </xf>
    <xf numFmtId="181" fontId="6" fillId="31" borderId="128" xfId="6" applyNumberFormat="1" applyFont="1" applyFill="1" applyBorder="1" applyAlignment="1" applyProtection="1">
      <alignment vertical="center" shrinkToFit="1"/>
      <protection hidden="1"/>
    </xf>
    <xf numFmtId="1" fontId="6" fillId="31" borderId="56" xfId="6" applyNumberFormat="1" applyFont="1" applyFill="1" applyBorder="1" applyAlignment="1" applyProtection="1">
      <alignment vertical="center"/>
      <protection hidden="1"/>
    </xf>
    <xf numFmtId="181" fontId="6" fillId="31" borderId="108" xfId="6" applyNumberFormat="1" applyFont="1" applyFill="1" applyBorder="1" applyAlignment="1" applyProtection="1">
      <alignment vertical="center" shrinkToFit="1"/>
      <protection hidden="1"/>
    </xf>
    <xf numFmtId="1" fontId="6" fillId="31" borderId="45" xfId="6" applyNumberFormat="1" applyFont="1" applyFill="1" applyBorder="1" applyAlignment="1" applyProtection="1">
      <alignment vertical="center"/>
      <protection hidden="1"/>
    </xf>
    <xf numFmtId="181" fontId="6" fillId="31" borderId="2" xfId="6" applyNumberFormat="1" applyFont="1" applyFill="1" applyBorder="1" applyAlignment="1" applyProtection="1">
      <alignment vertical="center" shrinkToFit="1"/>
      <protection hidden="1"/>
    </xf>
    <xf numFmtId="181" fontId="6" fillId="31" borderId="31" xfId="6" applyNumberFormat="1" applyFont="1" applyFill="1" applyBorder="1" applyAlignment="1" applyProtection="1">
      <alignment vertical="center" shrinkToFit="1"/>
      <protection hidden="1"/>
    </xf>
    <xf numFmtId="181" fontId="6" fillId="31" borderId="219" xfId="6" applyNumberFormat="1" applyFont="1" applyFill="1" applyBorder="1" applyAlignment="1" applyProtection="1">
      <alignment vertical="center" shrinkToFit="1"/>
      <protection hidden="1"/>
    </xf>
    <xf numFmtId="181" fontId="6" fillId="31" borderId="111" xfId="6" applyNumberFormat="1" applyFont="1" applyFill="1" applyBorder="1" applyAlignment="1" applyProtection="1">
      <alignment vertical="center" shrinkToFit="1"/>
      <protection hidden="1"/>
    </xf>
    <xf numFmtId="9" fontId="6" fillId="0" borderId="8" xfId="3" applyFont="1" applyBorder="1" applyAlignment="1" applyProtection="1">
      <alignment horizontal="center"/>
      <protection hidden="1"/>
    </xf>
    <xf numFmtId="1" fontId="83" fillId="0" borderId="0" xfId="6" applyNumberFormat="1" applyFont="1" applyAlignment="1" applyProtection="1">
      <alignment horizontal="right"/>
      <protection hidden="1"/>
    </xf>
    <xf numFmtId="1" fontId="106" fillId="0" borderId="0" xfId="6" applyNumberFormat="1" applyFont="1" applyAlignment="1" applyProtection="1">
      <alignment horizontal="center" vertical="center"/>
      <protection hidden="1"/>
    </xf>
    <xf numFmtId="2" fontId="101" fillId="0" borderId="0" xfId="0" applyNumberFormat="1" applyFont="1" applyAlignment="1" applyProtection="1">
      <alignment horizontal="center" vertical="center"/>
      <protection hidden="1"/>
    </xf>
    <xf numFmtId="0" fontId="124" fillId="0" borderId="0" xfId="0" applyFont="1" applyAlignment="1" applyProtection="1">
      <alignment horizontal="center" vertical="center"/>
      <protection hidden="1"/>
    </xf>
    <xf numFmtId="0" fontId="97" fillId="7" borderId="118" xfId="0" applyFont="1" applyFill="1" applyBorder="1" applyAlignment="1">
      <alignment horizontal="left" vertical="center"/>
    </xf>
    <xf numFmtId="0" fontId="135" fillId="0" borderId="17" xfId="0" applyFont="1" applyBorder="1" applyAlignment="1">
      <alignment horizontal="right" vertical="center"/>
    </xf>
    <xf numFmtId="0" fontId="6" fillId="34" borderId="14" xfId="0" applyFont="1" applyFill="1" applyBorder="1" applyAlignment="1" applyProtection="1">
      <alignment horizontal="center"/>
      <protection hidden="1"/>
    </xf>
    <xf numFmtId="0" fontId="6" fillId="34" borderId="0" xfId="0" applyFont="1" applyFill="1" applyAlignment="1" applyProtection="1">
      <alignment horizontal="center"/>
      <protection hidden="1"/>
    </xf>
    <xf numFmtId="0" fontId="6" fillId="35" borderId="14" xfId="0" applyFont="1" applyFill="1" applyBorder="1" applyAlignment="1" applyProtection="1">
      <alignment horizontal="left"/>
      <protection hidden="1"/>
    </xf>
    <xf numFmtId="49" fontId="11" fillId="31" borderId="0" xfId="0" applyNumberFormat="1" applyFont="1" applyFill="1" applyAlignment="1">
      <alignment vertical="center"/>
    </xf>
    <xf numFmtId="0" fontId="6" fillId="31" borderId="0" xfId="0" applyFont="1" applyFill="1" applyAlignment="1">
      <alignment vertical="center"/>
    </xf>
    <xf numFmtId="0" fontId="12" fillId="31" borderId="0" xfId="0" applyFont="1" applyFill="1" applyAlignment="1">
      <alignment horizontal="center" vertical="center"/>
    </xf>
    <xf numFmtId="0" fontId="6" fillId="31" borderId="0" xfId="0" applyFont="1" applyFill="1" applyAlignment="1">
      <alignment horizontal="center" vertical="center"/>
    </xf>
    <xf numFmtId="1" fontId="6" fillId="31" borderId="0" xfId="0" applyNumberFormat="1" applyFont="1" applyFill="1" applyAlignment="1">
      <alignment horizontal="center" vertical="center"/>
    </xf>
    <xf numFmtId="49" fontId="27" fillId="31" borderId="0" xfId="0" applyNumberFormat="1" applyFont="1" applyFill="1" applyAlignment="1" applyProtection="1">
      <alignment vertical="center"/>
      <protection hidden="1"/>
    </xf>
    <xf numFmtId="49" fontId="11" fillId="31" borderId="0" xfId="0" applyNumberFormat="1" applyFont="1" applyFill="1" applyAlignment="1" applyProtection="1">
      <alignment vertical="center"/>
      <protection hidden="1"/>
    </xf>
    <xf numFmtId="49" fontId="6" fillId="31" borderId="0" xfId="0" applyNumberFormat="1" applyFont="1" applyFill="1" applyAlignment="1" applyProtection="1">
      <alignment vertical="center"/>
      <protection hidden="1"/>
    </xf>
    <xf numFmtId="0" fontId="6" fillId="31" borderId="0" xfId="0" applyFont="1" applyFill="1" applyAlignment="1" applyProtection="1">
      <alignment vertical="center"/>
      <protection hidden="1"/>
    </xf>
    <xf numFmtId="49" fontId="151" fillId="31" borderId="0" xfId="0" applyNumberFormat="1" applyFont="1" applyFill="1" applyAlignment="1" applyProtection="1">
      <alignment vertical="top"/>
      <protection hidden="1"/>
    </xf>
    <xf numFmtId="0" fontId="11" fillId="31" borderId="0" xfId="0" applyFont="1" applyFill="1" applyProtection="1">
      <protection hidden="1"/>
    </xf>
    <xf numFmtId="49" fontId="319" fillId="0" borderId="0" xfId="0" applyNumberFormat="1" applyFont="1" applyAlignment="1" applyProtection="1">
      <alignment vertical="center"/>
      <protection hidden="1"/>
    </xf>
    <xf numFmtId="0" fontId="6" fillId="31" borderId="0" xfId="0" applyFont="1" applyFill="1" applyProtection="1">
      <protection hidden="1"/>
    </xf>
    <xf numFmtId="49" fontId="18" fillId="0" borderId="0" xfId="0" applyNumberFormat="1" applyFont="1" applyAlignment="1" applyProtection="1">
      <alignment vertical="top"/>
      <protection hidden="1"/>
    </xf>
    <xf numFmtId="0" fontId="178" fillId="0" borderId="0" xfId="6" applyNumberFormat="1" applyFont="1" applyAlignment="1" applyProtection="1">
      <alignment vertical="center"/>
      <protection hidden="1"/>
    </xf>
    <xf numFmtId="0" fontId="178" fillId="0" borderId="0" xfId="0" applyFont="1" applyAlignment="1" applyProtection="1">
      <alignment horizontal="left"/>
      <protection hidden="1"/>
    </xf>
    <xf numFmtId="0" fontId="178" fillId="0" borderId="0" xfId="0" applyFont="1" applyProtection="1">
      <protection hidden="1"/>
    </xf>
    <xf numFmtId="0" fontId="178" fillId="0" borderId="0" xfId="6" applyNumberFormat="1" applyFont="1" applyAlignment="1" applyProtection="1">
      <alignment horizontal="left" vertical="center"/>
      <protection hidden="1"/>
    </xf>
    <xf numFmtId="0" fontId="111" fillId="0" borderId="0" xfId="6" applyNumberFormat="1" applyFont="1" applyAlignment="1" applyProtection="1">
      <alignment horizontal="center" vertical="center"/>
      <protection hidden="1"/>
    </xf>
    <xf numFmtId="0" fontId="178" fillId="0" borderId="0" xfId="6" applyNumberFormat="1" applyFont="1" applyAlignment="1" applyProtection="1">
      <alignment horizontal="center" vertical="center"/>
      <protection hidden="1"/>
    </xf>
    <xf numFmtId="0" fontId="178" fillId="0" borderId="0" xfId="6" quotePrefix="1" applyNumberFormat="1" applyFont="1" applyAlignment="1" applyProtection="1">
      <alignment vertical="center"/>
      <protection hidden="1"/>
    </xf>
    <xf numFmtId="0" fontId="178" fillId="0" borderId="0" xfId="0" applyFont="1" applyAlignment="1" applyProtection="1">
      <alignment horizontal="center"/>
      <protection hidden="1"/>
    </xf>
    <xf numFmtId="0" fontId="178" fillId="0" borderId="14" xfId="6" applyNumberFormat="1" applyFont="1" applyBorder="1" applyAlignment="1" applyProtection="1">
      <alignment horizontal="left" vertical="center"/>
      <protection hidden="1"/>
    </xf>
    <xf numFmtId="0" fontId="178" fillId="0" borderId="14" xfId="6" applyNumberFormat="1" applyFont="1" applyBorder="1" applyAlignment="1" applyProtection="1">
      <alignment vertical="center"/>
      <protection hidden="1"/>
    </xf>
    <xf numFmtId="0" fontId="178" fillId="0" borderId="14" xfId="6" applyNumberFormat="1" applyFont="1" applyBorder="1" applyAlignment="1" applyProtection="1">
      <alignment horizontal="center" vertical="center"/>
      <protection hidden="1"/>
    </xf>
    <xf numFmtId="0" fontId="170" fillId="0" borderId="0" xfId="6" applyNumberFormat="1" applyFont="1" applyAlignment="1" applyProtection="1">
      <alignment horizontal="left" vertical="center"/>
      <protection hidden="1"/>
    </xf>
    <xf numFmtId="0" fontId="170" fillId="0" borderId="0" xfId="0" applyFont="1" applyAlignment="1" applyProtection="1">
      <alignment horizontal="left"/>
      <protection hidden="1"/>
    </xf>
    <xf numFmtId="0" fontId="170" fillId="0" borderId="0" xfId="0" applyFont="1" applyProtection="1">
      <protection hidden="1"/>
    </xf>
    <xf numFmtId="0" fontId="170" fillId="0" borderId="0" xfId="6" applyNumberFormat="1" applyFont="1" applyAlignment="1" applyProtection="1">
      <alignment vertical="center"/>
      <protection hidden="1"/>
    </xf>
    <xf numFmtId="1" fontId="281" fillId="0" borderId="0" xfId="6" applyNumberFormat="1" applyFont="1" applyAlignment="1" applyProtection="1">
      <alignment horizontal="center" vertical="center"/>
      <protection hidden="1"/>
    </xf>
    <xf numFmtId="0" fontId="263" fillId="0" borderId="0" xfId="0" applyFont="1" applyAlignment="1" applyProtection="1">
      <alignment horizontal="left"/>
      <protection hidden="1"/>
    </xf>
    <xf numFmtId="0" fontId="18" fillId="0" borderId="5" xfId="0" applyFont="1" applyBorder="1" applyProtection="1">
      <protection hidden="1"/>
    </xf>
    <xf numFmtId="165" fontId="194" fillId="0" borderId="0" xfId="6" applyFont="1" applyAlignment="1" applyProtection="1">
      <alignment vertical="center"/>
      <protection hidden="1"/>
    </xf>
    <xf numFmtId="165" fontId="100" fillId="0" borderId="0" xfId="6" applyFont="1" applyAlignment="1" applyProtection="1">
      <alignment vertical="top"/>
      <protection hidden="1"/>
    </xf>
    <xf numFmtId="165" fontId="18" fillId="32" borderId="0" xfId="6" applyFont="1" applyFill="1" applyAlignment="1" applyProtection="1">
      <alignment vertical="center"/>
      <protection hidden="1"/>
    </xf>
    <xf numFmtId="0" fontId="18" fillId="32" borderId="0" xfId="0" applyFont="1" applyFill="1" applyProtection="1">
      <protection hidden="1"/>
    </xf>
    <xf numFmtId="165" fontId="7" fillId="36" borderId="0" xfId="6" applyFont="1" applyFill="1" applyAlignment="1" applyProtection="1">
      <alignment vertical="center"/>
      <protection hidden="1"/>
    </xf>
    <xf numFmtId="0" fontId="18" fillId="36" borderId="0" xfId="0" applyFont="1" applyFill="1" applyProtection="1">
      <protection hidden="1"/>
    </xf>
    <xf numFmtId="165" fontId="318" fillId="0" borderId="0" xfId="6" applyFont="1" applyAlignment="1" applyProtection="1">
      <alignment horizontal="center" vertical="center"/>
      <protection hidden="1"/>
    </xf>
    <xf numFmtId="9" fontId="318" fillId="0" borderId="0" xfId="3" applyFont="1" applyAlignment="1" applyProtection="1">
      <alignment horizontal="center" vertical="center"/>
      <protection hidden="1"/>
    </xf>
    <xf numFmtId="182" fontId="6" fillId="0" borderId="0" xfId="6" applyNumberFormat="1" applyFont="1" applyAlignment="1" applyProtection="1">
      <alignment vertical="center" shrinkToFit="1"/>
      <protection hidden="1"/>
    </xf>
    <xf numFmtId="9" fontId="12" fillId="0" borderId="0" xfId="3" applyFont="1" applyBorder="1" applyAlignment="1" applyProtection="1">
      <alignment vertical="center"/>
      <protection hidden="1"/>
    </xf>
    <xf numFmtId="167" fontId="12" fillId="0" borderId="0" xfId="3" applyNumberFormat="1" applyFont="1" applyBorder="1" applyAlignment="1" applyProtection="1">
      <alignment vertical="center"/>
      <protection hidden="1"/>
    </xf>
    <xf numFmtId="9" fontId="233" fillId="0" borderId="0" xfId="3" applyFont="1" applyBorder="1" applyAlignment="1" applyProtection="1">
      <alignment horizontal="center" vertical="center"/>
      <protection hidden="1"/>
    </xf>
    <xf numFmtId="167" fontId="12" fillId="0" borderId="7" xfId="3" applyNumberFormat="1" applyFont="1" applyBorder="1" applyAlignment="1" applyProtection="1">
      <alignment vertical="center"/>
      <protection hidden="1"/>
    </xf>
    <xf numFmtId="167" fontId="12" fillId="0" borderId="5" xfId="3" applyNumberFormat="1" applyFont="1" applyBorder="1" applyAlignment="1" applyProtection="1">
      <alignment vertical="center"/>
      <protection hidden="1"/>
    </xf>
    <xf numFmtId="0" fontId="321" fillId="0" borderId="0" xfId="0" applyFont="1" applyAlignment="1" applyProtection="1">
      <alignment vertical="center"/>
      <protection hidden="1"/>
    </xf>
    <xf numFmtId="0" fontId="6" fillId="0" borderId="267" xfId="0" applyFont="1" applyBorder="1" applyAlignment="1" applyProtection="1">
      <alignment vertical="center"/>
      <protection hidden="1"/>
    </xf>
    <xf numFmtId="0" fontId="6" fillId="0" borderId="268" xfId="0" applyFont="1" applyBorder="1" applyAlignment="1" applyProtection="1">
      <alignment vertical="center"/>
      <protection hidden="1"/>
    </xf>
    <xf numFmtId="0" fontId="6" fillId="0" borderId="268" xfId="0" applyFont="1" applyBorder="1" applyAlignment="1" applyProtection="1">
      <alignment horizontal="center" vertical="center"/>
      <protection hidden="1"/>
    </xf>
    <xf numFmtId="0" fontId="6" fillId="0" borderId="267" xfId="0" applyFont="1" applyBorder="1" applyAlignment="1" applyProtection="1">
      <alignment horizontal="center" vertical="center"/>
      <protection hidden="1"/>
    </xf>
    <xf numFmtId="0" fontId="322" fillId="0" borderId="0" xfId="0" applyFont="1" applyAlignment="1" applyProtection="1">
      <alignment vertical="center"/>
      <protection hidden="1"/>
    </xf>
    <xf numFmtId="0" fontId="323" fillId="0" borderId="0" xfId="0" applyFont="1" applyAlignment="1" applyProtection="1">
      <alignment horizontal="center" vertical="center"/>
      <protection hidden="1"/>
    </xf>
    <xf numFmtId="2" fontId="323" fillId="0" borderId="0" xfId="0" applyNumberFormat="1" applyFont="1" applyAlignment="1" applyProtection="1">
      <alignment horizontal="center" vertical="center"/>
      <protection hidden="1"/>
    </xf>
    <xf numFmtId="1" fontId="6" fillId="7" borderId="6" xfId="0" applyNumberFormat="1" applyFont="1" applyFill="1" applyBorder="1" applyAlignment="1" applyProtection="1">
      <alignment vertical="center" shrinkToFit="1"/>
      <protection hidden="1"/>
    </xf>
    <xf numFmtId="0" fontId="11" fillId="0" borderId="267" xfId="0" applyFont="1" applyBorder="1"/>
    <xf numFmtId="49" fontId="11" fillId="0" borderId="267" xfId="0" applyNumberFormat="1" applyFont="1" applyBorder="1" applyProtection="1">
      <protection hidden="1"/>
    </xf>
    <xf numFmtId="0" fontId="11" fillId="0" borderId="267" xfId="0" applyFont="1" applyBorder="1" applyProtection="1">
      <protection hidden="1"/>
    </xf>
    <xf numFmtId="49" fontId="6" fillId="0" borderId="267" xfId="0" applyNumberFormat="1" applyFont="1" applyBorder="1" applyAlignment="1" applyProtection="1">
      <alignment vertical="center"/>
      <protection hidden="1"/>
    </xf>
    <xf numFmtId="49" fontId="12" fillId="0" borderId="267" xfId="0" applyNumberFormat="1" applyFont="1" applyBorder="1" applyAlignment="1" applyProtection="1">
      <alignment vertical="center"/>
      <protection hidden="1"/>
    </xf>
    <xf numFmtId="0" fontId="12" fillId="0" borderId="267" xfId="0" applyFont="1" applyBorder="1" applyAlignment="1" applyProtection="1">
      <alignment vertical="center"/>
      <protection hidden="1"/>
    </xf>
    <xf numFmtId="49" fontId="11" fillId="0" borderId="0" xfId="0" quotePrefix="1" applyNumberFormat="1" applyFont="1" applyAlignment="1" applyProtection="1">
      <alignment vertical="top"/>
      <protection hidden="1"/>
    </xf>
    <xf numFmtId="0" fontId="11" fillId="0" borderId="0" xfId="5" applyFont="1"/>
    <xf numFmtId="2" fontId="97" fillId="0" borderId="167" xfId="0" applyNumberFormat="1" applyFont="1" applyBorder="1"/>
    <xf numFmtId="2" fontId="97" fillId="0" borderId="157" xfId="0" applyNumberFormat="1" applyFont="1" applyBorder="1"/>
    <xf numFmtId="2" fontId="97" fillId="0" borderId="24" xfId="0" applyNumberFormat="1" applyFont="1" applyBorder="1"/>
    <xf numFmtId="188" fontId="97" fillId="0" borderId="168" xfId="0" applyNumberFormat="1" applyFont="1" applyBorder="1"/>
    <xf numFmtId="2" fontId="97" fillId="12" borderId="168" xfId="0" applyNumberFormat="1" applyFont="1" applyFill="1" applyBorder="1"/>
    <xf numFmtId="166" fontId="97" fillId="0" borderId="167" xfId="0" applyNumberFormat="1" applyFont="1" applyBorder="1"/>
    <xf numFmtId="2" fontId="97" fillId="0" borderId="182" xfId="0" applyNumberFormat="1" applyFont="1" applyBorder="1"/>
    <xf numFmtId="0" fontId="97" fillId="0" borderId="0" xfId="0" applyFont="1" applyAlignment="1">
      <alignment horizontal="center"/>
    </xf>
    <xf numFmtId="0" fontId="97" fillId="0" borderId="0" xfId="0" quotePrefix="1" applyFont="1"/>
    <xf numFmtId="2" fontId="97" fillId="0" borderId="0" xfId="0" applyNumberFormat="1" applyFont="1" applyAlignment="1">
      <alignment horizontal="center"/>
    </xf>
    <xf numFmtId="2" fontId="97" fillId="0" borderId="0" xfId="0" applyNumberFormat="1" applyFont="1"/>
    <xf numFmtId="9" fontId="97" fillId="0" borderId="0" xfId="3" applyFont="1" applyBorder="1" applyAlignment="1">
      <alignment horizontal="center"/>
    </xf>
    <xf numFmtId="2" fontId="326" fillId="0" borderId="0" xfId="0" applyNumberFormat="1" applyFont="1" applyAlignment="1">
      <alignment horizontal="center"/>
    </xf>
    <xf numFmtId="2" fontId="326" fillId="0" borderId="0" xfId="0" applyNumberFormat="1" applyFont="1"/>
    <xf numFmtId="9" fontId="326" fillId="0" borderId="0" xfId="3" applyFont="1" applyBorder="1" applyAlignment="1">
      <alignment horizontal="center"/>
    </xf>
    <xf numFmtId="2" fontId="130" fillId="0" borderId="0" xfId="0" applyNumberFormat="1" applyFont="1" applyAlignment="1">
      <alignment horizontal="center"/>
    </xf>
    <xf numFmtId="0" fontId="326" fillId="0" borderId="0" xfId="0" applyFont="1" applyAlignment="1">
      <alignment horizontal="center"/>
    </xf>
    <xf numFmtId="180" fontId="167" fillId="0" borderId="11" xfId="6" quotePrefix="1" applyNumberFormat="1" applyFont="1" applyBorder="1" applyAlignment="1" applyProtection="1">
      <alignment horizontal="centerContinuous" vertical="center"/>
      <protection hidden="1"/>
    </xf>
    <xf numFmtId="174" fontId="144" fillId="12" borderId="39" xfId="5" applyNumberFormat="1" applyFont="1" applyFill="1" applyBorder="1" applyAlignment="1">
      <alignment horizontal="centerContinuous"/>
    </xf>
    <xf numFmtId="165" fontId="144" fillId="12" borderId="0" xfId="5" quotePrefix="1" applyNumberFormat="1" applyFont="1" applyFill="1" applyAlignment="1">
      <alignment horizontal="centerContinuous"/>
    </xf>
    <xf numFmtId="176" fontId="144" fillId="12" borderId="0" xfId="5" applyNumberFormat="1" applyFont="1" applyFill="1" applyAlignment="1">
      <alignment horizontal="centerContinuous"/>
    </xf>
    <xf numFmtId="0" fontId="220" fillId="0" borderId="0" xfId="5" applyFont="1" applyAlignment="1">
      <alignment vertical="top"/>
    </xf>
    <xf numFmtId="0" fontId="2" fillId="0" borderId="11" xfId="5" applyFont="1" applyBorder="1" applyAlignment="1">
      <alignment horizontal="centerContinuous"/>
    </xf>
    <xf numFmtId="167" fontId="318" fillId="0" borderId="0" xfId="3" applyNumberFormat="1" applyFont="1" applyAlignment="1" applyProtection="1">
      <alignment horizontal="center" vertical="center"/>
      <protection hidden="1"/>
    </xf>
    <xf numFmtId="0" fontId="6" fillId="0" borderId="62" xfId="0" applyFont="1" applyBorder="1" applyAlignment="1" applyProtection="1">
      <alignment horizontal="center" vertical="center"/>
      <protection hidden="1"/>
    </xf>
    <xf numFmtId="0" fontId="11" fillId="0" borderId="6" xfId="0" applyFont="1" applyBorder="1" applyAlignment="1">
      <alignment vertical="center"/>
    </xf>
    <xf numFmtId="0" fontId="11" fillId="7" borderId="6" xfId="0" applyFont="1" applyFill="1" applyBorder="1" applyAlignment="1">
      <alignment horizontal="center" vertical="center"/>
    </xf>
    <xf numFmtId="165" fontId="11" fillId="0" borderId="6" xfId="0" applyNumberFormat="1" applyFont="1" applyBorder="1" applyAlignment="1">
      <alignment vertical="center"/>
    </xf>
    <xf numFmtId="2" fontId="11" fillId="0" borderId="269" xfId="0" applyNumberFormat="1" applyFont="1" applyBorder="1" applyAlignment="1">
      <alignment vertical="center"/>
    </xf>
    <xf numFmtId="0" fontId="11" fillId="0" borderId="46" xfId="0" applyFont="1" applyBorder="1" applyAlignment="1">
      <alignment vertical="center"/>
    </xf>
    <xf numFmtId="165" fontId="11" fillId="0" borderId="46" xfId="0" applyNumberFormat="1" applyFont="1" applyBorder="1" applyAlignment="1">
      <alignment vertical="center"/>
    </xf>
    <xf numFmtId="165" fontId="11" fillId="0" borderId="47" xfId="0" applyNumberFormat="1" applyFont="1" applyBorder="1" applyAlignment="1">
      <alignment vertical="center"/>
    </xf>
    <xf numFmtId="2" fontId="97" fillId="0" borderId="270" xfId="0" applyNumberFormat="1" applyFont="1" applyBorder="1"/>
    <xf numFmtId="0" fontId="11" fillId="0" borderId="4" xfId="0" applyFont="1" applyBorder="1" applyProtection="1">
      <protection hidden="1"/>
    </xf>
    <xf numFmtId="0" fontId="11" fillId="0" borderId="5" xfId="0" applyFont="1" applyBorder="1" applyAlignment="1" applyProtection="1">
      <alignment horizontal="center"/>
      <protection hidden="1"/>
    </xf>
    <xf numFmtId="0" fontId="11" fillId="0" borderId="268" xfId="0" applyFont="1" applyBorder="1" applyProtection="1">
      <protection hidden="1"/>
    </xf>
    <xf numFmtId="0" fontId="97" fillId="0" borderId="271" xfId="0" applyFont="1" applyBorder="1" applyProtection="1">
      <protection hidden="1"/>
    </xf>
    <xf numFmtId="0" fontId="11" fillId="0" borderId="271" xfId="0" applyFont="1" applyBorder="1" applyProtection="1">
      <protection hidden="1"/>
    </xf>
    <xf numFmtId="2" fontId="97" fillId="0" borderId="271" xfId="0" applyNumberFormat="1" applyFont="1" applyBorder="1" applyAlignment="1">
      <alignment horizontal="center"/>
    </xf>
    <xf numFmtId="2" fontId="97" fillId="0" borderId="271" xfId="0" applyNumberFormat="1" applyFont="1" applyBorder="1"/>
    <xf numFmtId="2" fontId="97" fillId="0" borderId="268" xfId="0" applyNumberFormat="1" applyFont="1" applyBorder="1" applyAlignment="1">
      <alignment horizontal="center"/>
    </xf>
    <xf numFmtId="2" fontId="97" fillId="0" borderId="268" xfId="0" applyNumberFormat="1" applyFont="1" applyBorder="1"/>
    <xf numFmtId="165" fontId="318" fillId="0" borderId="267" xfId="0" applyNumberFormat="1" applyFont="1" applyBorder="1" applyAlignment="1" applyProtection="1">
      <alignment horizontal="left" vertical="center"/>
      <protection hidden="1"/>
    </xf>
    <xf numFmtId="2" fontId="318" fillId="0" borderId="267" xfId="0" applyNumberFormat="1" applyFont="1" applyBorder="1" applyAlignment="1">
      <alignment horizontal="left" vertical="center"/>
    </xf>
    <xf numFmtId="165" fontId="318" fillId="0" borderId="0" xfId="0" applyNumberFormat="1" applyFont="1" applyAlignment="1" applyProtection="1">
      <alignment horizontal="left" vertical="center"/>
      <protection hidden="1"/>
    </xf>
    <xf numFmtId="0" fontId="318" fillId="0" borderId="0" xfId="0" applyFont="1" applyAlignment="1" applyProtection="1">
      <alignment horizontal="left" vertical="center"/>
      <protection hidden="1"/>
    </xf>
    <xf numFmtId="2" fontId="318" fillId="0" borderId="0" xfId="0" applyNumberFormat="1" applyFont="1" applyAlignment="1">
      <alignment horizontal="left" vertical="center"/>
    </xf>
    <xf numFmtId="2" fontId="318" fillId="0" borderId="0" xfId="0" applyNumberFormat="1" applyFont="1" applyAlignment="1" applyProtection="1">
      <alignment horizontal="left" vertical="center"/>
      <protection hidden="1"/>
    </xf>
    <xf numFmtId="0" fontId="146" fillId="0" borderId="0" xfId="0" applyFont="1" applyAlignment="1" applyProtection="1">
      <alignment horizontal="left"/>
      <protection hidden="1"/>
    </xf>
    <xf numFmtId="0" fontId="330" fillId="0" borderId="0" xfId="0" applyFont="1" applyAlignment="1" applyProtection="1">
      <alignment vertical="top"/>
      <protection hidden="1"/>
    </xf>
    <xf numFmtId="0" fontId="318" fillId="7" borderId="0" xfId="0" applyFont="1" applyFill="1" applyAlignment="1" applyProtection="1">
      <alignment horizontal="left" vertical="center"/>
      <protection hidden="1"/>
    </xf>
    <xf numFmtId="0" fontId="287" fillId="0" borderId="0" xfId="0" applyFont="1"/>
    <xf numFmtId="165" fontId="13" fillId="7" borderId="0" xfId="5" applyNumberFormat="1" applyFont="1" applyFill="1" applyAlignment="1">
      <alignment horizontal="center"/>
    </xf>
    <xf numFmtId="174" fontId="13" fillId="12" borderId="0" xfId="5" applyNumberFormat="1" applyFont="1" applyFill="1"/>
    <xf numFmtId="174" fontId="13" fillId="7" borderId="0" xfId="5" applyNumberFormat="1" applyFont="1" applyFill="1" applyAlignment="1">
      <alignment horizontal="center"/>
    </xf>
    <xf numFmtId="0" fontId="97" fillId="0" borderId="0" xfId="0" quotePrefix="1" applyFont="1" applyProtection="1">
      <protection hidden="1"/>
    </xf>
    <xf numFmtId="0" fontId="333" fillId="0" borderId="0" xfId="0" applyFont="1" applyProtection="1">
      <protection hidden="1"/>
    </xf>
    <xf numFmtId="0" fontId="83" fillId="0" borderId="0" xfId="0" quotePrefix="1" applyFont="1" applyProtection="1">
      <protection hidden="1"/>
    </xf>
    <xf numFmtId="0" fontId="334" fillId="0" borderId="0" xfId="0" applyFont="1" applyProtection="1">
      <protection hidden="1"/>
    </xf>
    <xf numFmtId="0" fontId="159" fillId="0" borderId="0" xfId="0" applyFont="1" applyProtection="1">
      <protection hidden="1"/>
    </xf>
    <xf numFmtId="0" fontId="11" fillId="24" borderId="117" xfId="0" applyFont="1" applyFill="1" applyBorder="1" applyAlignment="1">
      <alignment vertical="center"/>
    </xf>
    <xf numFmtId="0" fontId="11" fillId="24" borderId="50" xfId="0" applyFont="1" applyFill="1" applyBorder="1" applyAlignment="1">
      <alignment vertical="center"/>
    </xf>
    <xf numFmtId="0" fontId="6" fillId="24" borderId="143" xfId="0" applyFont="1" applyFill="1" applyBorder="1" applyAlignment="1" applyProtection="1">
      <alignment horizontal="center" vertical="center"/>
      <protection hidden="1"/>
    </xf>
    <xf numFmtId="0" fontId="11" fillId="24" borderId="117" xfId="0" applyFont="1" applyFill="1" applyBorder="1" applyAlignment="1">
      <alignment horizontal="center" vertical="center"/>
    </xf>
    <xf numFmtId="2" fontId="11" fillId="24" borderId="149" xfId="0" applyNumberFormat="1" applyFont="1" applyFill="1" applyBorder="1" applyAlignment="1">
      <alignment vertical="center"/>
    </xf>
    <xf numFmtId="0" fontId="11" fillId="24" borderId="59" xfId="0" applyFont="1" applyFill="1" applyBorder="1" applyAlignment="1">
      <alignment vertical="center"/>
    </xf>
    <xf numFmtId="2" fontId="97" fillId="24" borderId="168" xfId="0" applyNumberFormat="1" applyFont="1" applyFill="1" applyBorder="1"/>
    <xf numFmtId="0" fontId="124" fillId="37" borderId="0" xfId="0" applyFont="1" applyFill="1" applyAlignment="1" applyProtection="1">
      <alignment horizontal="left"/>
      <protection hidden="1"/>
    </xf>
    <xf numFmtId="0" fontId="11" fillId="31" borderId="117" xfId="0" quotePrefix="1" applyFont="1" applyFill="1" applyBorder="1" applyAlignment="1">
      <alignment vertical="center"/>
    </xf>
    <xf numFmtId="0" fontId="11" fillId="31" borderId="118" xfId="0" applyFont="1" applyFill="1" applyBorder="1" applyAlignment="1">
      <alignment vertical="center"/>
    </xf>
    <xf numFmtId="0" fontId="11" fillId="31" borderId="117" xfId="0" applyFont="1" applyFill="1" applyBorder="1" applyAlignment="1">
      <alignment vertical="center"/>
    </xf>
    <xf numFmtId="0" fontId="15" fillId="31" borderId="93" xfId="0" applyFont="1" applyFill="1" applyBorder="1" applyAlignment="1">
      <alignment vertical="center"/>
    </xf>
    <xf numFmtId="2" fontId="15" fillId="31" borderId="181" xfId="0" applyNumberFormat="1" applyFont="1" applyFill="1" applyBorder="1" applyAlignment="1">
      <alignment vertical="center"/>
    </xf>
    <xf numFmtId="0" fontId="11" fillId="38" borderId="118" xfId="0" applyFont="1" applyFill="1" applyBorder="1" applyAlignment="1" applyProtection="1">
      <alignment vertical="center"/>
      <protection hidden="1"/>
    </xf>
    <xf numFmtId="0" fontId="11" fillId="38" borderId="117" xfId="0" applyFont="1" applyFill="1" applyBorder="1" applyAlignment="1" applyProtection="1">
      <alignment vertical="center"/>
      <protection hidden="1"/>
    </xf>
    <xf numFmtId="0" fontId="11" fillId="38" borderId="0" xfId="0" applyFont="1" applyFill="1" applyAlignment="1" applyProtection="1">
      <alignment vertical="center"/>
      <protection hidden="1"/>
    </xf>
    <xf numFmtId="0" fontId="219" fillId="39" borderId="0" xfId="0" applyFont="1" applyFill="1" applyAlignment="1">
      <alignment horizontal="left" vertical="center"/>
    </xf>
    <xf numFmtId="165" fontId="329" fillId="40" borderId="0" xfId="0" applyNumberFormat="1" applyFont="1" applyFill="1" applyAlignment="1" applyProtection="1">
      <alignment horizontal="left" vertical="center"/>
      <protection hidden="1"/>
    </xf>
    <xf numFmtId="165" fontId="318" fillId="40" borderId="0" xfId="0" applyNumberFormat="1" applyFont="1" applyFill="1" applyAlignment="1" applyProtection="1">
      <alignment horizontal="left" vertical="center"/>
      <protection hidden="1"/>
    </xf>
    <xf numFmtId="2" fontId="329" fillId="40" borderId="0" xfId="0" applyNumberFormat="1" applyFont="1" applyFill="1" applyAlignment="1" applyProtection="1">
      <alignment horizontal="left" vertical="top"/>
      <protection hidden="1"/>
    </xf>
    <xf numFmtId="2" fontId="318" fillId="40" borderId="0" xfId="0" applyNumberFormat="1" applyFont="1" applyFill="1" applyAlignment="1" applyProtection="1">
      <alignment horizontal="left" vertical="center"/>
      <protection hidden="1"/>
    </xf>
    <xf numFmtId="165" fontId="235" fillId="0" borderId="0" xfId="0" applyNumberFormat="1" applyFont="1" applyAlignment="1" applyProtection="1">
      <alignment horizontal="center" vertical="center"/>
      <protection hidden="1"/>
    </xf>
    <xf numFmtId="9" fontId="83" fillId="0" borderId="0" xfId="3" applyFont="1" applyBorder="1" applyAlignment="1" applyProtection="1">
      <alignment vertical="center"/>
    </xf>
    <xf numFmtId="0" fontId="6" fillId="3" borderId="6" xfId="0" applyFont="1" applyFill="1" applyBorder="1" applyAlignment="1" applyProtection="1">
      <alignment horizontal="center" vertical="center" shrinkToFit="1"/>
      <protection locked="0"/>
    </xf>
    <xf numFmtId="1" fontId="6" fillId="0" borderId="0" xfId="0" applyNumberFormat="1" applyFont="1" applyAlignment="1" applyProtection="1">
      <alignment horizontal="center" vertical="center"/>
      <protection hidden="1"/>
    </xf>
    <xf numFmtId="1" fontId="6" fillId="0" borderId="16" xfId="0" applyNumberFormat="1" applyFont="1" applyBorder="1" applyAlignment="1" applyProtection="1">
      <alignment horizontal="center" vertical="center"/>
      <protection hidden="1"/>
    </xf>
    <xf numFmtId="0" fontId="6" fillId="12" borderId="128" xfId="0" applyFont="1" applyFill="1" applyBorder="1" applyAlignment="1">
      <alignment vertical="center"/>
    </xf>
    <xf numFmtId="0" fontId="6" fillId="34" borderId="0" xfId="0" applyFont="1" applyFill="1" applyAlignment="1">
      <alignment horizontal="center" vertical="center"/>
    </xf>
    <xf numFmtId="0" fontId="12" fillId="14" borderId="0" xfId="0" applyFont="1" applyFill="1" applyAlignment="1">
      <alignment vertical="center"/>
    </xf>
    <xf numFmtId="0" fontId="309" fillId="0" borderId="129" xfId="0" applyFont="1" applyBorder="1" applyAlignment="1" applyProtection="1">
      <alignment horizontal="center" vertical="center"/>
      <protection hidden="1"/>
    </xf>
    <xf numFmtId="0" fontId="6" fillId="0" borderId="129" xfId="0" applyFont="1" applyBorder="1" applyProtection="1">
      <protection hidden="1"/>
    </xf>
    <xf numFmtId="1" fontId="309" fillId="0" borderId="129" xfId="0" applyNumberFormat="1" applyFont="1" applyBorder="1" applyAlignment="1" applyProtection="1">
      <alignment horizontal="center" vertical="center"/>
      <protection hidden="1"/>
    </xf>
    <xf numFmtId="0" fontId="309" fillId="0" borderId="128" xfId="0" applyFont="1" applyBorder="1" applyAlignment="1" applyProtection="1">
      <alignment horizontal="center" vertical="center"/>
      <protection hidden="1"/>
    </xf>
    <xf numFmtId="0" fontId="309" fillId="0" borderId="56" xfId="0" applyFont="1" applyBorder="1" applyAlignment="1" applyProtection="1">
      <alignment horizontal="center" vertical="center"/>
      <protection hidden="1"/>
    </xf>
    <xf numFmtId="0" fontId="6" fillId="0" borderId="128" xfId="0" applyFont="1" applyBorder="1" applyProtection="1">
      <protection hidden="1"/>
    </xf>
    <xf numFmtId="1" fontId="309" fillId="0" borderId="56" xfId="0" applyNumberFormat="1" applyFont="1" applyBorder="1" applyAlignment="1" applyProtection="1">
      <alignment horizontal="center" vertical="center"/>
      <protection hidden="1"/>
    </xf>
    <xf numFmtId="0" fontId="12" fillId="3" borderId="4" xfId="0" applyFont="1" applyFill="1" applyBorder="1" applyAlignment="1">
      <alignment vertical="center"/>
    </xf>
    <xf numFmtId="0" fontId="12" fillId="3" borderId="17" xfId="0" applyFont="1" applyFill="1" applyBorder="1" applyAlignment="1">
      <alignment vertical="center"/>
    </xf>
    <xf numFmtId="0" fontId="12" fillId="12" borderId="4" xfId="0" applyFont="1" applyFill="1" applyBorder="1" applyAlignment="1">
      <alignment vertical="center"/>
    </xf>
    <xf numFmtId="0" fontId="12" fillId="12" borderId="17" xfId="0" applyFont="1" applyFill="1" applyBorder="1" applyAlignment="1">
      <alignment vertical="center"/>
    </xf>
    <xf numFmtId="0" fontId="12" fillId="0" borderId="17" xfId="0" applyFont="1" applyBorder="1" applyAlignment="1">
      <alignment vertical="center"/>
    </xf>
    <xf numFmtId="1" fontId="6" fillId="24" borderId="6" xfId="0" applyNumberFormat="1" applyFont="1" applyFill="1" applyBorder="1" applyAlignment="1" applyProtection="1">
      <alignment horizontal="center" vertical="center"/>
      <protection locked="0" hidden="1"/>
    </xf>
    <xf numFmtId="2" fontId="83" fillId="0" borderId="0" xfId="0" applyNumberFormat="1" applyFont="1" applyAlignment="1" applyProtection="1">
      <alignment horizontal="center" vertical="center"/>
      <protection hidden="1"/>
    </xf>
    <xf numFmtId="1" fontId="320" fillId="0" borderId="0" xfId="0" applyNumberFormat="1" applyFont="1" applyAlignment="1" applyProtection="1">
      <alignment horizontal="center" vertical="center"/>
      <protection locked="0"/>
    </xf>
    <xf numFmtId="0" fontId="320" fillId="0" borderId="0" xfId="0" applyFont="1" applyAlignment="1" applyProtection="1">
      <alignment horizontal="center" vertical="center"/>
      <protection locked="0"/>
    </xf>
    <xf numFmtId="0" fontId="173" fillId="0" borderId="0" xfId="0" applyFont="1" applyAlignment="1" applyProtection="1">
      <alignment horizontal="right" vertical="center"/>
      <protection hidden="1"/>
    </xf>
    <xf numFmtId="0" fontId="167" fillId="0" borderId="0" xfId="0" applyFont="1" applyAlignment="1" applyProtection="1">
      <alignment horizontal="center" vertical="center"/>
      <protection hidden="1"/>
    </xf>
    <xf numFmtId="0" fontId="167" fillId="0" borderId="0" xfId="0" applyFont="1" applyAlignment="1" applyProtection="1">
      <alignment horizontal="left" vertical="center"/>
      <protection hidden="1"/>
    </xf>
    <xf numFmtId="2" fontId="264" fillId="0" borderId="210" xfId="0" applyNumberFormat="1" applyFont="1" applyBorder="1" applyAlignment="1" applyProtection="1">
      <alignment horizontal="center" vertical="center"/>
      <protection hidden="1"/>
    </xf>
    <xf numFmtId="0" fontId="105" fillId="0" borderId="0" xfId="0" applyFont="1" applyAlignment="1">
      <alignment horizontal="right"/>
    </xf>
    <xf numFmtId="0" fontId="105" fillId="0" borderId="0" xfId="0" applyFont="1" applyAlignment="1">
      <alignment horizontal="right" vertical="center"/>
    </xf>
    <xf numFmtId="0" fontId="11" fillId="31" borderId="59" xfId="0" applyFont="1" applyFill="1" applyBorder="1" applyAlignment="1">
      <alignment vertical="center"/>
    </xf>
    <xf numFmtId="165" fontId="11" fillId="0" borderId="110" xfId="0" applyNumberFormat="1" applyFont="1" applyBorder="1" applyAlignment="1">
      <alignment vertical="center"/>
    </xf>
    <xf numFmtId="165" fontId="11" fillId="0" borderId="92" xfId="0" applyNumberFormat="1" applyFont="1" applyBorder="1" applyAlignment="1">
      <alignment vertical="center"/>
    </xf>
    <xf numFmtId="165" fontId="11" fillId="0" borderId="93" xfId="0" applyNumberFormat="1" applyFont="1" applyBorder="1" applyAlignment="1">
      <alignment vertical="center"/>
    </xf>
    <xf numFmtId="0" fontId="174" fillId="0" borderId="0" xfId="0" applyFont="1" applyAlignment="1">
      <alignment vertical="center"/>
    </xf>
    <xf numFmtId="0" fontId="135" fillId="0" borderId="0" xfId="0" applyFont="1" applyAlignment="1" applyProtection="1">
      <alignment horizontal="right" vertical="center"/>
      <protection hidden="1"/>
    </xf>
    <xf numFmtId="0" fontId="6" fillId="31" borderId="144" xfId="0" applyFont="1" applyFill="1" applyBorder="1" applyAlignment="1" applyProtection="1">
      <alignment horizontal="center" vertical="center"/>
      <protection hidden="1"/>
    </xf>
    <xf numFmtId="1" fontId="11" fillId="31" borderId="118" xfId="0" applyNumberFormat="1" applyFont="1" applyFill="1" applyBorder="1" applyAlignment="1">
      <alignment horizontal="right" vertical="center"/>
    </xf>
    <xf numFmtId="0" fontId="11" fillId="31" borderId="144" xfId="0" applyFont="1" applyFill="1" applyBorder="1" applyAlignment="1">
      <alignment vertical="center"/>
    </xf>
    <xf numFmtId="2" fontId="11" fillId="31" borderId="118" xfId="0" applyNumberFormat="1" applyFont="1" applyFill="1" applyBorder="1" applyAlignment="1">
      <alignment vertical="center"/>
    </xf>
    <xf numFmtId="0" fontId="14" fillId="41" borderId="118" xfId="0" applyFont="1" applyFill="1" applyBorder="1" applyAlignment="1">
      <alignment vertical="center"/>
    </xf>
    <xf numFmtId="0" fontId="13" fillId="0" borderId="26" xfId="0" applyFont="1" applyBorder="1" applyAlignment="1" applyProtection="1">
      <alignment horizontal="left" vertical="center"/>
      <protection hidden="1"/>
    </xf>
    <xf numFmtId="0" fontId="11" fillId="0" borderId="0" xfId="0" applyFont="1" applyAlignment="1">
      <alignment horizontal="left" vertical="center"/>
    </xf>
    <xf numFmtId="0" fontId="11" fillId="0" borderId="18" xfId="0" applyFont="1" applyBorder="1" applyAlignment="1">
      <alignment vertical="center"/>
    </xf>
    <xf numFmtId="0" fontId="11" fillId="14" borderId="18" xfId="0" applyFont="1" applyFill="1" applyBorder="1"/>
    <xf numFmtId="0" fontId="11" fillId="0" borderId="18" xfId="0" applyFont="1" applyBorder="1"/>
    <xf numFmtId="0" fontId="97" fillId="0" borderId="18" xfId="0" applyFont="1" applyBorder="1" applyAlignment="1" applyProtection="1">
      <alignment horizontal="center"/>
      <protection hidden="1"/>
    </xf>
    <xf numFmtId="0" fontId="83" fillId="0" borderId="27" xfId="0" applyFont="1" applyBorder="1" applyAlignment="1" applyProtection="1">
      <alignment horizontal="center" vertical="center"/>
      <protection hidden="1"/>
    </xf>
    <xf numFmtId="0" fontId="298" fillId="0" borderId="0" xfId="0" applyFont="1" applyAlignment="1" applyProtection="1">
      <alignment horizontal="center"/>
      <protection hidden="1"/>
    </xf>
    <xf numFmtId="0" fontId="300" fillId="0" borderId="27" xfId="0" applyFont="1" applyBorder="1" applyAlignment="1" applyProtection="1">
      <alignment horizontal="left" vertical="center"/>
      <protection hidden="1"/>
    </xf>
    <xf numFmtId="0" fontId="287" fillId="0" borderId="18" xfId="0" applyFont="1" applyBorder="1" applyAlignment="1">
      <alignment horizontal="left" vertical="center"/>
    </xf>
    <xf numFmtId="0" fontId="287" fillId="0" borderId="18" xfId="0" applyFont="1" applyBorder="1" applyAlignment="1">
      <alignment vertical="center"/>
    </xf>
    <xf numFmtId="0" fontId="287" fillId="0" borderId="18" xfId="0" applyFont="1" applyBorder="1" applyAlignment="1">
      <alignment horizontal="right" vertical="center"/>
    </xf>
    <xf numFmtId="0" fontId="298" fillId="0" borderId="25" xfId="0" applyFont="1" applyBorder="1" applyAlignment="1">
      <alignment vertical="center"/>
    </xf>
    <xf numFmtId="0" fontId="287" fillId="0" borderId="0" xfId="0" applyFont="1" applyProtection="1">
      <protection hidden="1"/>
    </xf>
    <xf numFmtId="0" fontId="287" fillId="7" borderId="0" xfId="0" applyFont="1" applyFill="1" applyProtection="1">
      <protection hidden="1"/>
    </xf>
    <xf numFmtId="9" fontId="298" fillId="0" borderId="0" xfId="3" applyFont="1" applyAlignment="1">
      <alignment horizontal="center"/>
    </xf>
    <xf numFmtId="0" fontId="97" fillId="15" borderId="0" xfId="0" applyFont="1" applyFill="1"/>
    <xf numFmtId="0" fontId="28" fillId="0" borderId="0" xfId="0" quotePrefix="1" applyFont="1" applyProtection="1">
      <protection hidden="1"/>
    </xf>
    <xf numFmtId="49" fontId="34" fillId="0" borderId="18" xfId="0" applyNumberFormat="1" applyFont="1" applyBorder="1" applyProtection="1">
      <protection hidden="1"/>
    </xf>
    <xf numFmtId="49" fontId="280" fillId="0" borderId="1" xfId="0" quotePrefix="1" applyNumberFormat="1" applyFont="1" applyBorder="1" applyAlignment="1" applyProtection="1">
      <alignment vertical="center"/>
      <protection hidden="1"/>
    </xf>
    <xf numFmtId="49" fontId="281" fillId="0" borderId="13" xfId="0" applyNumberFormat="1" applyFont="1" applyBorder="1" applyAlignment="1" applyProtection="1">
      <alignment vertical="center"/>
      <protection hidden="1"/>
    </xf>
    <xf numFmtId="49" fontId="281" fillId="0" borderId="15" xfId="0" applyNumberFormat="1" applyFont="1" applyBorder="1" applyAlignment="1" applyProtection="1">
      <alignment vertical="center"/>
      <protection hidden="1"/>
    </xf>
    <xf numFmtId="0" fontId="11" fillId="0" borderId="0" xfId="5" applyFont="1" applyAlignment="1">
      <alignment vertical="center"/>
    </xf>
    <xf numFmtId="165" fontId="342" fillId="36" borderId="0" xfId="1" applyNumberFormat="1" applyFont="1" applyFill="1" applyAlignment="1" applyProtection="1">
      <alignment vertical="center"/>
      <protection hidden="1"/>
    </xf>
    <xf numFmtId="0" fontId="6" fillId="42" borderId="0" xfId="0" applyFont="1" applyFill="1" applyAlignment="1">
      <alignment vertical="center"/>
    </xf>
    <xf numFmtId="49" fontId="38" fillId="42" borderId="0" xfId="0" quotePrefix="1" applyNumberFormat="1" applyFont="1" applyFill="1" applyAlignment="1" applyProtection="1">
      <alignment vertical="center"/>
      <protection hidden="1"/>
    </xf>
    <xf numFmtId="49" fontId="31" fillId="42" borderId="0" xfId="0" applyNumberFormat="1" applyFont="1" applyFill="1" applyAlignment="1" applyProtection="1">
      <alignment vertical="center"/>
      <protection hidden="1"/>
    </xf>
    <xf numFmtId="49" fontId="37" fillId="42" borderId="0" xfId="0" applyNumberFormat="1" applyFont="1" applyFill="1" applyAlignment="1" applyProtection="1">
      <alignment vertical="center"/>
      <protection hidden="1"/>
    </xf>
    <xf numFmtId="0" fontId="191" fillId="42" borderId="0" xfId="0" applyFont="1" applyFill="1" applyProtection="1">
      <protection hidden="1"/>
    </xf>
    <xf numFmtId="49" fontId="218" fillId="42" borderId="0" xfId="0" applyNumberFormat="1" applyFont="1" applyFill="1" applyAlignment="1" applyProtection="1">
      <alignment vertical="center"/>
      <protection hidden="1"/>
    </xf>
    <xf numFmtId="0" fontId="218" fillId="42" borderId="0" xfId="0" applyFont="1" applyFill="1" applyAlignment="1" applyProtection="1">
      <alignment vertical="center"/>
      <protection hidden="1"/>
    </xf>
    <xf numFmtId="0" fontId="83" fillId="42" borderId="0" xfId="0" applyFont="1" applyFill="1" applyAlignment="1" applyProtection="1">
      <alignment vertical="center"/>
      <protection hidden="1"/>
    </xf>
    <xf numFmtId="1" fontId="57" fillId="0" borderId="56" xfId="0" applyNumberFormat="1" applyFont="1" applyBorder="1" applyAlignment="1" applyProtection="1">
      <alignment vertical="center"/>
      <protection hidden="1"/>
    </xf>
    <xf numFmtId="1" fontId="57" fillId="0" borderId="45" xfId="0" applyNumberFormat="1" applyFont="1" applyBorder="1" applyAlignment="1" applyProtection="1">
      <alignment vertical="center"/>
      <protection hidden="1"/>
    </xf>
    <xf numFmtId="0" fontId="11" fillId="0" borderId="49" xfId="0" applyFont="1" applyBorder="1" applyAlignment="1">
      <alignment horizontal="center" vertical="center"/>
    </xf>
    <xf numFmtId="0" fontId="345" fillId="0" borderId="0" xfId="0" applyFont="1"/>
    <xf numFmtId="0" fontId="346" fillId="0" borderId="0" xfId="0" applyFont="1" applyAlignment="1" applyProtection="1">
      <alignment horizontal="center"/>
      <protection hidden="1"/>
    </xf>
    <xf numFmtId="1" fontId="346" fillId="0" borderId="0" xfId="0" applyNumberFormat="1" applyFont="1" applyAlignment="1" applyProtection="1">
      <alignment horizontal="center"/>
      <protection hidden="1"/>
    </xf>
    <xf numFmtId="0" fontId="253" fillId="0" borderId="15" xfId="0" applyFont="1" applyBorder="1" applyAlignment="1">
      <alignment horizontal="center" vertical="center"/>
    </xf>
    <xf numFmtId="1" fontId="4" fillId="3" borderId="4" xfId="0" applyNumberFormat="1" applyFont="1" applyFill="1" applyBorder="1" applyAlignment="1" applyProtection="1">
      <alignment horizontal="right" vertical="center"/>
      <protection locked="0"/>
    </xf>
    <xf numFmtId="0" fontId="83" fillId="0" borderId="11" xfId="0" applyFont="1" applyBorder="1" applyAlignment="1">
      <alignment horizontal="centerContinuous" vertical="center"/>
    </xf>
    <xf numFmtId="165" fontId="6" fillId="0" borderId="271" xfId="0" applyNumberFormat="1" applyFont="1" applyBorder="1" applyAlignment="1" applyProtection="1">
      <alignment vertical="center"/>
      <protection hidden="1"/>
    </xf>
    <xf numFmtId="0" fontId="309" fillId="0" borderId="0" xfId="0" applyFont="1" applyAlignment="1" applyProtection="1">
      <alignment horizontal="center" vertical="center"/>
      <protection hidden="1"/>
    </xf>
    <xf numFmtId="1" fontId="309" fillId="0" borderId="0" xfId="0" applyNumberFormat="1" applyFont="1" applyAlignment="1" applyProtection="1">
      <alignment horizontal="center" vertical="center"/>
      <protection hidden="1"/>
    </xf>
    <xf numFmtId="0" fontId="28" fillId="32" borderId="0" xfId="0" applyFont="1" applyFill="1" applyAlignment="1" applyProtection="1">
      <alignment vertical="center"/>
      <protection hidden="1"/>
    </xf>
    <xf numFmtId="0" fontId="28" fillId="32" borderId="0" xfId="0" applyFont="1" applyFill="1" applyAlignment="1" applyProtection="1">
      <alignment horizontal="center"/>
      <protection hidden="1"/>
    </xf>
    <xf numFmtId="49" fontId="11" fillId="0" borderId="272" xfId="0" quotePrefix="1" applyNumberFormat="1" applyFont="1" applyBorder="1" applyAlignment="1" applyProtection="1">
      <alignment vertical="center"/>
      <protection hidden="1"/>
    </xf>
    <xf numFmtId="0" fontId="18" fillId="0" borderId="11" xfId="0" applyFont="1" applyBorder="1" applyAlignment="1" applyProtection="1">
      <alignment vertical="center"/>
      <protection hidden="1"/>
    </xf>
    <xf numFmtId="0" fontId="6" fillId="0" borderId="272" xfId="0" applyFont="1" applyBorder="1" applyAlignment="1" applyProtection="1">
      <alignment vertical="center"/>
      <protection hidden="1"/>
    </xf>
    <xf numFmtId="0" fontId="12" fillId="0" borderId="15" xfId="0" applyFont="1" applyBorder="1" applyAlignment="1" applyProtection="1">
      <alignment horizontal="right"/>
      <protection hidden="1"/>
    </xf>
    <xf numFmtId="168" fontId="6" fillId="0" borderId="7" xfId="0" applyNumberFormat="1" applyFont="1" applyBorder="1" applyProtection="1">
      <protection hidden="1"/>
    </xf>
    <xf numFmtId="0" fontId="32" fillId="3" borderId="7" xfId="0" applyFont="1" applyFill="1" applyBorder="1" applyAlignment="1" applyProtection="1">
      <alignment horizontal="center"/>
      <protection locked="0"/>
    </xf>
    <xf numFmtId="0" fontId="29" fillId="3" borderId="7" xfId="0" applyFont="1" applyFill="1" applyBorder="1" applyAlignment="1" applyProtection="1">
      <alignment horizontal="center"/>
      <protection locked="0"/>
    </xf>
    <xf numFmtId="0" fontId="36" fillId="3" borderId="7" xfId="0" applyFont="1" applyFill="1" applyBorder="1" applyAlignment="1" applyProtection="1">
      <alignment horizontal="center"/>
      <protection locked="0"/>
    </xf>
    <xf numFmtId="0" fontId="347" fillId="0" borderId="0" xfId="0" applyFont="1" applyAlignment="1" applyProtection="1">
      <alignment vertical="center"/>
      <protection hidden="1"/>
    </xf>
    <xf numFmtId="49" fontId="6" fillId="0" borderId="272" xfId="0" applyNumberFormat="1" applyFont="1" applyBorder="1" applyAlignment="1" applyProtection="1">
      <alignment horizontal="centerContinuous" vertical="center"/>
      <protection hidden="1"/>
    </xf>
    <xf numFmtId="0" fontId="29" fillId="0" borderId="267" xfId="0" applyFont="1" applyBorder="1" applyAlignment="1">
      <alignment horizontal="left" vertical="top"/>
    </xf>
    <xf numFmtId="0" fontId="83" fillId="0" borderId="6" xfId="0" applyFont="1" applyBorder="1" applyAlignment="1">
      <alignment horizontal="left" vertical="center"/>
    </xf>
    <xf numFmtId="0" fontId="83" fillId="0" borderId="6" xfId="0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top"/>
    </xf>
    <xf numFmtId="0" fontId="135" fillId="0" borderId="17" xfId="0" applyFont="1" applyBorder="1" applyAlignment="1">
      <alignment horizontal="left" vertical="top"/>
    </xf>
    <xf numFmtId="0" fontId="146" fillId="37" borderId="0" xfId="0" applyFont="1" applyFill="1" applyAlignment="1" applyProtection="1">
      <alignment horizontal="left" vertical="center"/>
      <protection hidden="1"/>
    </xf>
    <xf numFmtId="0" fontId="233" fillId="37" borderId="210" xfId="0" applyFont="1" applyFill="1" applyBorder="1" applyAlignment="1" applyProtection="1">
      <alignment horizontal="center" vertical="center"/>
      <protection hidden="1"/>
    </xf>
    <xf numFmtId="1" fontId="236" fillId="37" borderId="0" xfId="0" applyNumberFormat="1" applyFont="1" applyFill="1" applyAlignment="1" applyProtection="1">
      <alignment horizontal="center" vertical="center"/>
      <protection hidden="1"/>
    </xf>
    <xf numFmtId="0" fontId="236" fillId="37" borderId="0" xfId="0" applyFont="1" applyFill="1" applyAlignment="1" applyProtection="1">
      <alignment vertical="center"/>
      <protection hidden="1"/>
    </xf>
    <xf numFmtId="0" fontId="18" fillId="37" borderId="210" xfId="0" applyFont="1" applyFill="1" applyBorder="1" applyAlignment="1" applyProtection="1">
      <alignment horizontal="center" vertical="center"/>
      <protection hidden="1"/>
    </xf>
    <xf numFmtId="2" fontId="233" fillId="37" borderId="0" xfId="0" applyNumberFormat="1" applyFont="1" applyFill="1" applyAlignment="1" applyProtection="1">
      <alignment vertical="center"/>
      <protection hidden="1"/>
    </xf>
    <xf numFmtId="0" fontId="12" fillId="0" borderId="15" xfId="0" applyFont="1" applyBorder="1" applyAlignment="1">
      <alignment vertical="center"/>
    </xf>
    <xf numFmtId="0" fontId="12" fillId="39" borderId="7" xfId="0" applyFont="1" applyFill="1" applyBorder="1" applyAlignment="1" applyProtection="1">
      <alignment horizontal="center" vertical="center"/>
      <protection locked="0"/>
    </xf>
    <xf numFmtId="0" fontId="12" fillId="0" borderId="267" xfId="0" quotePrefix="1" applyFont="1" applyBorder="1" applyAlignment="1" applyProtection="1">
      <alignment horizontal="center" vertical="top"/>
      <protection locked="0"/>
    </xf>
    <xf numFmtId="0" fontId="169" fillId="0" borderId="267" xfId="0" applyFont="1" applyBorder="1" applyAlignment="1">
      <alignment horizontal="left" vertical="top"/>
    </xf>
    <xf numFmtId="0" fontId="344" fillId="0" borderId="267" xfId="0" applyFont="1" applyBorder="1" applyAlignment="1">
      <alignment horizontal="right" vertical="center"/>
    </xf>
    <xf numFmtId="0" fontId="83" fillId="0" borderId="0" xfId="0" applyFont="1" applyProtection="1">
      <protection locked="0"/>
    </xf>
    <xf numFmtId="0" fontId="83" fillId="0" borderId="227" xfId="0" applyFont="1" applyBorder="1" applyProtection="1">
      <protection hidden="1"/>
    </xf>
    <xf numFmtId="0" fontId="83" fillId="0" borderId="232" xfId="0" applyFont="1" applyBorder="1" applyProtection="1">
      <protection locked="0"/>
    </xf>
    <xf numFmtId="0" fontId="318" fillId="0" borderId="0" xfId="0" applyFont="1" applyAlignment="1" applyProtection="1">
      <alignment vertical="center"/>
      <protection hidden="1"/>
    </xf>
    <xf numFmtId="49" fontId="97" fillId="0" borderId="0" xfId="0" applyNumberFormat="1" applyFont="1" applyAlignment="1" applyProtection="1">
      <alignment vertical="center"/>
      <protection hidden="1"/>
    </xf>
    <xf numFmtId="165" fontId="6" fillId="0" borderId="6" xfId="0" applyNumberFormat="1" applyFont="1" applyBorder="1" applyAlignment="1">
      <alignment vertical="center"/>
    </xf>
    <xf numFmtId="0" fontId="11" fillId="24" borderId="0" xfId="0" applyFont="1" applyFill="1" applyAlignment="1" applyProtection="1">
      <alignment horizontal="center" vertical="center"/>
      <protection hidden="1"/>
    </xf>
    <xf numFmtId="0" fontId="231" fillId="24" borderId="16" xfId="0" applyFont="1" applyFill="1" applyBorder="1" applyAlignment="1" applyProtection="1">
      <alignment horizontal="center" vertical="center"/>
      <protection hidden="1"/>
    </xf>
    <xf numFmtId="0" fontId="352" fillId="0" borderId="1" xfId="0" applyFont="1" applyBorder="1" applyAlignment="1">
      <alignment vertical="center"/>
    </xf>
    <xf numFmtId="2" fontId="11" fillId="0" borderId="14" xfId="0" applyNumberFormat="1" applyFont="1" applyBorder="1" applyAlignment="1" applyProtection="1">
      <alignment horizontal="center"/>
      <protection hidden="1"/>
    </xf>
    <xf numFmtId="0" fontId="11" fillId="0" borderId="268" xfId="0" applyFont="1" applyBorder="1" applyAlignment="1" applyProtection="1">
      <alignment horizontal="center"/>
      <protection hidden="1"/>
    </xf>
    <xf numFmtId="2" fontId="11" fillId="0" borderId="0" xfId="0" applyNumberFormat="1" applyFont="1" applyAlignment="1">
      <alignment horizontal="center"/>
    </xf>
    <xf numFmtId="2" fontId="11" fillId="0" borderId="268" xfId="0" applyNumberFormat="1" applyFont="1" applyBorder="1" applyAlignment="1">
      <alignment horizontal="center"/>
    </xf>
    <xf numFmtId="2" fontId="97" fillId="0" borderId="273" xfId="0" applyNumberFormat="1" applyFont="1" applyBorder="1"/>
    <xf numFmtId="0" fontId="11" fillId="0" borderId="272" xfId="0" applyFont="1" applyBorder="1" applyProtection="1">
      <protection hidden="1"/>
    </xf>
    <xf numFmtId="165" fontId="299" fillId="40" borderId="0" xfId="0" applyNumberFormat="1" applyFont="1" applyFill="1" applyAlignment="1" applyProtection="1">
      <alignment horizontal="left" vertical="center"/>
      <protection hidden="1"/>
    </xf>
    <xf numFmtId="0" fontId="151" fillId="24" borderId="176" xfId="0" applyFont="1" applyFill="1" applyBorder="1"/>
    <xf numFmtId="0" fontId="97" fillId="24" borderId="116" xfId="0" applyFont="1" applyFill="1" applyBorder="1" applyAlignment="1" applyProtection="1">
      <alignment horizontal="left" vertical="center"/>
      <protection hidden="1"/>
    </xf>
    <xf numFmtId="0" fontId="11" fillId="24" borderId="133" xfId="0" applyFont="1" applyFill="1" applyBorder="1" applyAlignment="1" applyProtection="1">
      <alignment horizontal="left" vertical="center"/>
      <protection hidden="1"/>
    </xf>
    <xf numFmtId="0" fontId="11" fillId="24" borderId="116" xfId="0" applyFont="1" applyFill="1" applyBorder="1" applyAlignment="1" applyProtection="1">
      <alignment horizontal="center" vertical="center"/>
      <protection hidden="1"/>
    </xf>
    <xf numFmtId="0" fontId="11" fillId="24" borderId="116" xfId="0" applyFont="1" applyFill="1" applyBorder="1" applyAlignment="1" applyProtection="1">
      <alignment horizontal="left" vertical="center"/>
      <protection hidden="1"/>
    </xf>
    <xf numFmtId="0" fontId="11" fillId="24" borderId="116" xfId="0" applyFont="1" applyFill="1" applyBorder="1" applyProtection="1">
      <protection hidden="1"/>
    </xf>
    <xf numFmtId="0" fontId="144" fillId="0" borderId="22" xfId="0" applyFont="1" applyBorder="1" applyAlignment="1">
      <alignment horizontal="center"/>
    </xf>
    <xf numFmtId="0" fontId="144" fillId="0" borderId="272" xfId="0" applyFont="1" applyBorder="1" applyAlignment="1" applyProtection="1">
      <alignment horizontal="center" vertical="center"/>
      <protection hidden="1"/>
    </xf>
    <xf numFmtId="0" fontId="97" fillId="0" borderId="60" xfId="0" applyFont="1" applyBorder="1"/>
    <xf numFmtId="0" fontId="11" fillId="0" borderId="153" xfId="0" applyFont="1" applyBorder="1" applyAlignment="1" applyProtection="1">
      <alignment vertical="center"/>
      <protection hidden="1"/>
    </xf>
    <xf numFmtId="0" fontId="97" fillId="24" borderId="176" xfId="0" applyFont="1" applyFill="1" applyBorder="1"/>
    <xf numFmtId="0" fontId="11" fillId="24" borderId="116" xfId="0" applyFont="1" applyFill="1" applyBorder="1"/>
    <xf numFmtId="0" fontId="11" fillId="0" borderId="7" xfId="0" applyFont="1" applyBorder="1" applyProtection="1">
      <protection hidden="1"/>
    </xf>
    <xf numFmtId="0" fontId="11" fillId="0" borderId="9" xfId="0" applyFont="1" applyBorder="1" applyAlignment="1" applyProtection="1">
      <alignment horizontal="center"/>
      <protection hidden="1"/>
    </xf>
    <xf numFmtId="0" fontId="11" fillId="0" borderId="70" xfId="0" applyFont="1" applyBorder="1" applyProtection="1">
      <protection hidden="1"/>
    </xf>
    <xf numFmtId="0" fontId="11" fillId="0" borderId="70" xfId="0" applyFont="1" applyBorder="1"/>
    <xf numFmtId="0" fontId="83" fillId="24" borderId="116" xfId="0" applyFont="1" applyFill="1" applyBorder="1" applyAlignment="1">
      <alignment horizontal="center" vertical="center"/>
    </xf>
    <xf numFmtId="0" fontId="83" fillId="24" borderId="116" xfId="0" applyFont="1" applyFill="1" applyBorder="1" applyAlignment="1" applyProtection="1">
      <alignment horizontal="center" vertical="center"/>
      <protection hidden="1"/>
    </xf>
    <xf numFmtId="0" fontId="97" fillId="24" borderId="161" xfId="0" applyFont="1" applyFill="1" applyBorder="1"/>
    <xf numFmtId="2" fontId="353" fillId="0" borderId="210" xfId="0" applyNumberFormat="1" applyFont="1" applyBorder="1" applyAlignment="1" applyProtection="1">
      <alignment horizontal="center" vertical="center"/>
      <protection hidden="1"/>
    </xf>
    <xf numFmtId="4" fontId="13" fillId="0" borderId="39" xfId="5" applyNumberFormat="1" applyFont="1" applyBorder="1" applyAlignment="1">
      <alignment horizontal="center"/>
    </xf>
    <xf numFmtId="49" fontId="354" fillId="0" borderId="0" xfId="0" applyNumberFormat="1" applyFont="1" applyAlignment="1">
      <alignment vertical="center"/>
    </xf>
    <xf numFmtId="49" fontId="11" fillId="0" borderId="267" xfId="0" quotePrefix="1" applyNumberFormat="1" applyFont="1" applyBorder="1" applyAlignment="1" applyProtection="1">
      <alignment vertical="center"/>
      <protection hidden="1"/>
    </xf>
    <xf numFmtId="49" fontId="18" fillId="0" borderId="272" xfId="0" quotePrefix="1" applyNumberFormat="1" applyFont="1" applyBorder="1" applyAlignment="1" applyProtection="1">
      <alignment horizontal="left" vertical="center"/>
      <protection hidden="1"/>
    </xf>
    <xf numFmtId="49" fontId="13" fillId="39" borderId="272" xfId="0" quotePrefix="1" applyNumberFormat="1" applyFont="1" applyFill="1" applyBorder="1" applyAlignment="1" applyProtection="1">
      <alignment vertical="center"/>
      <protection hidden="1"/>
    </xf>
    <xf numFmtId="49" fontId="11" fillId="39" borderId="0" xfId="0" applyNumberFormat="1" applyFont="1" applyFill="1" applyAlignment="1" applyProtection="1">
      <alignment vertical="center"/>
      <protection hidden="1"/>
    </xf>
    <xf numFmtId="49" fontId="11" fillId="39" borderId="0" xfId="0" applyNumberFormat="1" applyFont="1" applyFill="1" applyProtection="1">
      <protection hidden="1"/>
    </xf>
    <xf numFmtId="49" fontId="12" fillId="39" borderId="0" xfId="0" applyNumberFormat="1" applyFont="1" applyFill="1" applyAlignment="1" applyProtection="1">
      <alignment vertical="center"/>
      <protection hidden="1"/>
    </xf>
    <xf numFmtId="49" fontId="0" fillId="39" borderId="0" xfId="0" applyNumberFormat="1" applyFill="1" applyProtection="1">
      <protection hidden="1"/>
    </xf>
    <xf numFmtId="0" fontId="0" fillId="39" borderId="0" xfId="0" applyFill="1" applyProtection="1">
      <protection hidden="1"/>
    </xf>
    <xf numFmtId="49" fontId="6" fillId="39" borderId="16" xfId="0" applyNumberFormat="1" applyFont="1" applyFill="1" applyBorder="1" applyAlignment="1" applyProtection="1">
      <alignment vertical="center"/>
      <protection hidden="1"/>
    </xf>
    <xf numFmtId="49" fontId="106" fillId="0" borderId="11" xfId="0" applyNumberFormat="1" applyFont="1" applyBorder="1" applyAlignment="1" applyProtection="1">
      <alignment horizontal="left" vertical="center"/>
      <protection hidden="1"/>
    </xf>
    <xf numFmtId="49" fontId="106" fillId="0" borderId="2" xfId="0" applyNumberFormat="1" applyFont="1" applyBorder="1" applyAlignment="1" applyProtection="1">
      <alignment horizontal="left" vertical="center"/>
      <protection hidden="1"/>
    </xf>
    <xf numFmtId="0" fontId="333" fillId="0" borderId="0" xfId="0" applyFont="1" applyAlignment="1" applyProtection="1">
      <alignment horizontal="center" vertical="center"/>
      <protection hidden="1"/>
    </xf>
    <xf numFmtId="9" fontId="333" fillId="0" borderId="0" xfId="3" applyFont="1" applyFill="1" applyAlignment="1" applyProtection="1">
      <alignment horizontal="left" vertical="center"/>
      <protection hidden="1"/>
    </xf>
    <xf numFmtId="0" fontId="333" fillId="0" borderId="4" xfId="0" applyFont="1" applyBorder="1" applyAlignment="1" applyProtection="1">
      <alignment horizontal="centerContinuous" vertical="center"/>
      <protection hidden="1"/>
    </xf>
    <xf numFmtId="1" fontId="6" fillId="0" borderId="17" xfId="0" applyNumberFormat="1" applyFont="1" applyBorder="1" applyAlignment="1" applyProtection="1">
      <alignment vertical="center" shrinkToFit="1"/>
      <protection hidden="1"/>
    </xf>
    <xf numFmtId="0" fontId="18" fillId="0" borderId="0" xfId="0" quotePrefix="1" applyFont="1" applyAlignment="1">
      <alignment vertical="center"/>
    </xf>
    <xf numFmtId="0" fontId="196" fillId="0" borderId="0" xfId="0" applyFont="1" applyAlignment="1">
      <alignment vertical="center"/>
    </xf>
    <xf numFmtId="49" fontId="367" fillId="31" borderId="0" xfId="0" applyNumberFormat="1" applyFont="1" applyFill="1" applyAlignment="1" applyProtection="1">
      <alignment horizontal="left" vertical="center"/>
      <protection hidden="1"/>
    </xf>
    <xf numFmtId="0" fontId="6" fillId="0" borderId="267" xfId="0" applyFont="1" applyBorder="1" applyAlignment="1" applyProtection="1">
      <alignment horizontal="left" vertical="center"/>
      <protection hidden="1"/>
    </xf>
    <xf numFmtId="168" fontId="6" fillId="0" borderId="267" xfId="0" applyNumberFormat="1" applyFont="1" applyBorder="1" applyAlignment="1" applyProtection="1">
      <alignment horizontal="center" vertical="center"/>
      <protection hidden="1"/>
    </xf>
    <xf numFmtId="1" fontId="6" fillId="0" borderId="267" xfId="0" quotePrefix="1" applyNumberFormat="1" applyFont="1" applyBorder="1" applyAlignment="1" applyProtection="1">
      <alignment horizontal="center" vertical="center"/>
      <protection hidden="1"/>
    </xf>
    <xf numFmtId="0" fontId="274" fillId="0" borderId="267" xfId="0" applyFont="1" applyBorder="1" applyAlignment="1" applyProtection="1">
      <alignment horizontal="center" vertical="center"/>
      <protection hidden="1"/>
    </xf>
    <xf numFmtId="2" fontId="12" fillId="0" borderId="271" xfId="0" applyNumberFormat="1" applyFont="1" applyBorder="1" applyAlignment="1" applyProtection="1">
      <alignment vertical="center" shrinkToFit="1"/>
      <protection hidden="1"/>
    </xf>
    <xf numFmtId="0" fontId="6" fillId="0" borderId="4" xfId="0" applyFont="1" applyBorder="1" applyAlignment="1" applyProtection="1">
      <alignment horizontal="center" vertical="center"/>
      <protection hidden="1"/>
    </xf>
    <xf numFmtId="0" fontId="6" fillId="0" borderId="271" xfId="0" applyFont="1" applyBorder="1" applyAlignment="1" applyProtection="1">
      <alignment horizontal="center" vertical="center"/>
      <protection hidden="1"/>
    </xf>
    <xf numFmtId="0" fontId="6" fillId="0" borderId="17" xfId="0" applyFont="1" applyBorder="1" applyAlignment="1" applyProtection="1">
      <alignment horizontal="center" vertical="center"/>
      <protection hidden="1"/>
    </xf>
    <xf numFmtId="168" fontId="6" fillId="0" borderId="268" xfId="0" applyNumberFormat="1" applyFont="1" applyBorder="1" applyAlignment="1" applyProtection="1">
      <alignment horizontal="right" vertical="center"/>
      <protection hidden="1"/>
    </xf>
    <xf numFmtId="2" fontId="54" fillId="0" borderId="271" xfId="0" applyNumberFormat="1" applyFont="1" applyBorder="1" applyAlignment="1" applyProtection="1">
      <alignment vertical="center" shrinkToFit="1"/>
      <protection hidden="1"/>
    </xf>
    <xf numFmtId="2" fontId="12" fillId="0" borderId="267" xfId="0" applyNumberFormat="1" applyFont="1" applyBorder="1" applyAlignment="1" applyProtection="1">
      <alignment vertical="center" shrinkToFit="1"/>
      <protection hidden="1"/>
    </xf>
    <xf numFmtId="0" fontId="6" fillId="0" borderId="268" xfId="0" applyFont="1" applyBorder="1" applyAlignment="1">
      <alignment horizontal="center" vertical="center"/>
    </xf>
    <xf numFmtId="0" fontId="6" fillId="0" borderId="15" xfId="0" applyFont="1" applyBorder="1" applyAlignment="1" applyProtection="1">
      <alignment horizontal="center" vertical="center"/>
      <protection hidden="1"/>
    </xf>
    <xf numFmtId="179" fontId="6" fillId="0" borderId="271" xfId="0" applyNumberFormat="1" applyFont="1" applyBorder="1" applyAlignment="1" applyProtection="1">
      <alignment vertical="center"/>
      <protection hidden="1"/>
    </xf>
    <xf numFmtId="1" fontId="6" fillId="0" borderId="271" xfId="0" applyNumberFormat="1" applyFont="1" applyBorder="1" applyAlignment="1" applyProtection="1">
      <alignment vertical="center" shrinkToFit="1"/>
      <protection hidden="1"/>
    </xf>
    <xf numFmtId="0" fontId="6" fillId="0" borderId="4" xfId="0" applyFont="1" applyBorder="1" applyAlignment="1" applyProtection="1">
      <alignment horizontal="left" vertical="center"/>
      <protection hidden="1"/>
    </xf>
    <xf numFmtId="0" fontId="6" fillId="0" borderId="271" xfId="0" applyFont="1" applyBorder="1" applyAlignment="1" applyProtection="1">
      <alignment horizontal="left" vertical="center"/>
      <protection hidden="1"/>
    </xf>
    <xf numFmtId="1" fontId="12" fillId="0" borderId="271" xfId="0" applyNumberFormat="1" applyFont="1" applyBorder="1" applyAlignment="1" applyProtection="1">
      <alignment horizontal="right" vertical="center" shrinkToFit="1"/>
      <protection hidden="1"/>
    </xf>
    <xf numFmtId="1" fontId="6" fillId="0" borderId="271" xfId="0" applyNumberFormat="1" applyFont="1" applyBorder="1" applyAlignment="1" applyProtection="1">
      <alignment vertical="center"/>
      <protection hidden="1"/>
    </xf>
    <xf numFmtId="49" fontId="97" fillId="0" borderId="272" xfId="0" quotePrefix="1" applyNumberFormat="1" applyFont="1" applyBorder="1" applyAlignment="1" applyProtection="1">
      <alignment horizontal="left" vertical="center"/>
      <protection hidden="1"/>
    </xf>
    <xf numFmtId="49" fontId="6" fillId="0" borderId="274" xfId="0" applyNumberFormat="1" applyFont="1" applyBorder="1" applyAlignment="1" applyProtection="1">
      <alignment vertical="center"/>
      <protection hidden="1"/>
    </xf>
    <xf numFmtId="180" fontId="105" fillId="0" borderId="229" xfId="6" applyNumberFormat="1" applyFont="1" applyBorder="1" applyAlignment="1" applyProtection="1">
      <alignment horizontal="center" vertical="center"/>
      <protection hidden="1"/>
    </xf>
    <xf numFmtId="180" fontId="6" fillId="0" borderId="229" xfId="6" applyNumberFormat="1" applyFont="1" applyBorder="1" applyAlignment="1" applyProtection="1">
      <alignment vertical="center" shrinkToFit="1"/>
      <protection locked="0"/>
    </xf>
    <xf numFmtId="180" fontId="135" fillId="0" borderId="56" xfId="6" applyNumberFormat="1" applyFont="1" applyBorder="1" applyAlignment="1" applyProtection="1">
      <alignment horizontal="center" vertical="center"/>
      <protection hidden="1"/>
    </xf>
    <xf numFmtId="0" fontId="83" fillId="0" borderId="0" xfId="0" applyFont="1" applyAlignment="1">
      <alignment horizontal="centerContinuous" vertical="center"/>
    </xf>
    <xf numFmtId="178" fontId="6" fillId="0" borderId="0" xfId="0" applyNumberFormat="1" applyFont="1" applyAlignment="1" applyProtection="1">
      <alignment vertical="center"/>
      <protection hidden="1"/>
    </xf>
    <xf numFmtId="178" fontId="6" fillId="0" borderId="0" xfId="0" applyNumberFormat="1" applyFont="1" applyAlignment="1">
      <alignment vertical="center"/>
    </xf>
    <xf numFmtId="49" fontId="38" fillId="42" borderId="0" xfId="0" quotePrefix="1" applyNumberFormat="1" applyFont="1" applyFill="1" applyAlignment="1" applyProtection="1">
      <alignment vertical="top"/>
      <protection hidden="1"/>
    </xf>
    <xf numFmtId="49" fontId="240" fillId="42" borderId="0" xfId="0" applyNumberFormat="1" applyFont="1" applyFill="1" applyAlignment="1" applyProtection="1">
      <alignment vertical="center"/>
      <protection hidden="1"/>
    </xf>
    <xf numFmtId="49" fontId="240" fillId="42" borderId="0" xfId="0" applyNumberFormat="1" applyFont="1" applyFill="1" applyAlignment="1" applyProtection="1">
      <alignment vertical="top"/>
      <protection hidden="1"/>
    </xf>
    <xf numFmtId="0" fontId="286" fillId="0" borderId="0" xfId="0" applyFont="1" applyAlignment="1" applyProtection="1">
      <alignment horizontal="left" vertical="center"/>
      <protection hidden="1"/>
    </xf>
    <xf numFmtId="189" fontId="349" fillId="0" borderId="0" xfId="0" applyNumberFormat="1" applyFont="1" applyAlignment="1" applyProtection="1">
      <alignment horizontal="center" vertical="center"/>
      <protection hidden="1"/>
    </xf>
    <xf numFmtId="0" fontId="6" fillId="0" borderId="0" xfId="0" applyFont="1" applyAlignment="1">
      <alignment vertical="top"/>
    </xf>
    <xf numFmtId="49" fontId="13" fillId="16" borderId="131" xfId="0" applyNumberFormat="1" applyFont="1" applyFill="1" applyBorder="1" applyAlignment="1" applyProtection="1">
      <alignment vertical="top"/>
      <protection hidden="1"/>
    </xf>
    <xf numFmtId="49" fontId="6" fillId="16" borderId="19" xfId="0" applyNumberFormat="1" applyFont="1" applyFill="1" applyBorder="1" applyAlignment="1" applyProtection="1">
      <alignment vertical="top"/>
      <protection hidden="1"/>
    </xf>
    <xf numFmtId="0" fontId="6" fillId="16" borderId="19" xfId="0" applyFont="1" applyFill="1" applyBorder="1" applyAlignment="1" applyProtection="1">
      <alignment vertical="top"/>
      <protection hidden="1"/>
    </xf>
    <xf numFmtId="0" fontId="6" fillId="16" borderId="24" xfId="0" applyFont="1" applyFill="1" applyBorder="1" applyAlignment="1" applyProtection="1">
      <alignment vertical="top"/>
      <protection hidden="1"/>
    </xf>
    <xf numFmtId="49" fontId="28" fillId="0" borderId="0" xfId="1" applyNumberFormat="1" applyFont="1" applyAlignment="1" applyProtection="1">
      <alignment vertical="top"/>
      <protection hidden="1"/>
    </xf>
    <xf numFmtId="0" fontId="28" fillId="7" borderId="0" xfId="0" applyFont="1" applyFill="1" applyAlignment="1" applyProtection="1">
      <alignment horizontal="center" vertical="top"/>
      <protection hidden="1"/>
    </xf>
    <xf numFmtId="0" fontId="120" fillId="0" borderId="0" xfId="0" applyFont="1" applyAlignment="1" applyProtection="1">
      <alignment horizontal="center" vertical="top"/>
      <protection hidden="1"/>
    </xf>
    <xf numFmtId="0" fontId="83" fillId="0" borderId="0" xfId="0" applyFont="1" applyAlignment="1" applyProtection="1">
      <alignment vertical="top"/>
      <protection hidden="1"/>
    </xf>
    <xf numFmtId="0" fontId="83" fillId="0" borderId="0" xfId="0" applyFont="1" applyAlignment="1">
      <alignment vertical="top"/>
    </xf>
    <xf numFmtId="0" fontId="83" fillId="7" borderId="0" xfId="0" applyFont="1" applyFill="1" applyAlignment="1" applyProtection="1">
      <alignment vertical="top"/>
      <protection hidden="1"/>
    </xf>
    <xf numFmtId="1" fontId="283" fillId="0" borderId="0" xfId="3" applyNumberFormat="1" applyFont="1" applyFill="1" applyBorder="1" applyAlignment="1" applyProtection="1">
      <alignment vertical="center"/>
    </xf>
    <xf numFmtId="1" fontId="281" fillId="0" borderId="0" xfId="3" applyNumberFormat="1" applyFont="1" applyAlignment="1" applyProtection="1">
      <alignment vertical="center"/>
    </xf>
    <xf numFmtId="9" fontId="15" fillId="0" borderId="0" xfId="3" applyFont="1" applyAlignment="1" applyProtection="1">
      <alignment vertical="center"/>
    </xf>
    <xf numFmtId="9" fontId="15" fillId="0" borderId="0" xfId="3" applyFont="1" applyBorder="1" applyAlignment="1" applyProtection="1">
      <alignment vertical="center"/>
    </xf>
    <xf numFmtId="0" fontId="14" fillId="0" borderId="0" xfId="0" applyFont="1" applyAlignment="1">
      <alignment vertical="center"/>
    </xf>
    <xf numFmtId="0" fontId="375" fillId="0" borderId="0" xfId="0" applyFont="1" applyAlignment="1">
      <alignment vertical="center"/>
    </xf>
    <xf numFmtId="9" fontId="174" fillId="0" borderId="0" xfId="3" applyFont="1" applyAlignment="1" applyProtection="1">
      <alignment vertical="center"/>
    </xf>
    <xf numFmtId="9" fontId="174" fillId="0" borderId="0" xfId="3" applyFont="1" applyBorder="1" applyAlignment="1" applyProtection="1">
      <alignment vertical="center"/>
    </xf>
    <xf numFmtId="0" fontId="298" fillId="0" borderId="0" xfId="0" applyFont="1" applyProtection="1">
      <protection hidden="1"/>
    </xf>
    <xf numFmtId="0" fontId="144" fillId="0" borderId="4" xfId="0" quotePrefix="1" applyFont="1" applyBorder="1" applyProtection="1">
      <protection hidden="1"/>
    </xf>
    <xf numFmtId="0" fontId="6" fillId="0" borderId="271" xfId="0" applyFont="1" applyBorder="1" applyAlignment="1" applyProtection="1">
      <alignment vertical="center"/>
      <protection hidden="1"/>
    </xf>
    <xf numFmtId="0" fontId="6" fillId="0" borderId="276" xfId="0" applyFont="1" applyBorder="1" applyAlignment="1" applyProtection="1">
      <alignment vertical="center"/>
      <protection hidden="1"/>
    </xf>
    <xf numFmtId="190" fontId="6" fillId="0" borderId="31" xfId="6" applyNumberFormat="1" applyFont="1" applyBorder="1" applyAlignment="1" applyProtection="1">
      <alignment vertical="center" shrinkToFit="1"/>
      <protection hidden="1"/>
    </xf>
    <xf numFmtId="190" fontId="6" fillId="0" borderId="132" xfId="6" applyNumberFormat="1" applyFont="1" applyBorder="1" applyAlignment="1" applyProtection="1">
      <alignment vertical="center" shrinkToFit="1"/>
      <protection hidden="1"/>
    </xf>
    <xf numFmtId="0" fontId="376" fillId="0" borderId="0" xfId="0" applyFont="1" applyAlignment="1">
      <alignment vertical="center"/>
    </xf>
    <xf numFmtId="0" fontId="301" fillId="0" borderId="0" xfId="0" applyFont="1" applyAlignment="1">
      <alignment vertical="center"/>
    </xf>
    <xf numFmtId="0" fontId="286" fillId="0" borderId="0" xfId="0" applyFont="1" applyAlignment="1">
      <alignment vertical="center"/>
    </xf>
    <xf numFmtId="0" fontId="6" fillId="0" borderId="271" xfId="0" applyFont="1" applyBorder="1" applyAlignment="1">
      <alignment vertical="center"/>
    </xf>
    <xf numFmtId="14" fontId="173" fillId="0" borderId="0" xfId="0" quotePrefix="1" applyNumberFormat="1" applyFont="1" applyAlignment="1">
      <alignment horizontal="left" vertical="center"/>
    </xf>
    <xf numFmtId="49" fontId="380" fillId="43" borderId="0" xfId="0" applyNumberFormat="1" applyFont="1" applyFill="1" applyAlignment="1" applyProtection="1">
      <alignment vertical="center"/>
      <protection hidden="1"/>
    </xf>
    <xf numFmtId="49" fontId="49" fillId="43" borderId="0" xfId="0" applyNumberFormat="1" applyFont="1" applyFill="1" applyAlignment="1" applyProtection="1">
      <alignment vertical="center"/>
      <protection hidden="1"/>
    </xf>
    <xf numFmtId="49" fontId="6" fillId="43" borderId="0" xfId="0" applyNumberFormat="1" applyFont="1" applyFill="1" applyAlignment="1" applyProtection="1">
      <alignment vertical="center"/>
      <protection hidden="1"/>
    </xf>
    <xf numFmtId="0" fontId="6" fillId="43" borderId="0" xfId="0" applyFont="1" applyFill="1" applyAlignment="1" applyProtection="1">
      <alignment vertical="center"/>
      <protection hidden="1"/>
    </xf>
    <xf numFmtId="49" fontId="383" fillId="43" borderId="0" xfId="0" applyNumberFormat="1" applyFont="1" applyFill="1" applyAlignment="1" applyProtection="1">
      <alignment vertical="center"/>
      <protection hidden="1"/>
    </xf>
    <xf numFmtId="49" fontId="111" fillId="43" borderId="0" xfId="0" applyNumberFormat="1" applyFont="1" applyFill="1" applyAlignment="1" applyProtection="1">
      <alignment vertical="center"/>
      <protection hidden="1"/>
    </xf>
    <xf numFmtId="49" fontId="383" fillId="43" borderId="0" xfId="0" quotePrefix="1" applyNumberFormat="1" applyFont="1" applyFill="1" applyAlignment="1" applyProtection="1">
      <alignment vertical="top"/>
      <protection hidden="1"/>
    </xf>
    <xf numFmtId="0" fontId="6" fillId="43" borderId="0" xfId="0" applyFont="1" applyFill="1" applyProtection="1">
      <protection hidden="1"/>
    </xf>
    <xf numFmtId="0" fontId="174" fillId="0" borderId="0" xfId="0" applyFont="1" applyAlignment="1">
      <alignment horizontal="left" vertical="center"/>
    </xf>
    <xf numFmtId="9" fontId="28" fillId="3" borderId="6" xfId="3" applyFont="1" applyFill="1" applyBorder="1" applyAlignment="1" applyProtection="1">
      <alignment vertical="center"/>
    </xf>
    <xf numFmtId="0" fontId="11" fillId="0" borderId="0" xfId="0" applyFont="1" applyAlignment="1" applyProtection="1">
      <alignment horizontal="center"/>
      <protection hidden="1"/>
    </xf>
    <xf numFmtId="0" fontId="119" fillId="0" borderId="272" xfId="0" applyFont="1" applyBorder="1" applyProtection="1">
      <protection hidden="1"/>
    </xf>
    <xf numFmtId="49" fontId="106" fillId="0" borderId="272" xfId="0" applyNumberFormat="1" applyFont="1" applyBorder="1" applyAlignment="1" applyProtection="1">
      <alignment horizontal="left" vertical="center"/>
      <protection hidden="1"/>
    </xf>
    <xf numFmtId="49" fontId="11" fillId="0" borderId="0" xfId="0" applyNumberFormat="1" applyFont="1" applyBorder="1" applyAlignment="1" applyProtection="1">
      <alignment vertical="center"/>
      <protection hidden="1"/>
    </xf>
    <xf numFmtId="49" fontId="6" fillId="0" borderId="0" xfId="0" applyNumberFormat="1" applyFont="1" applyBorder="1" applyAlignment="1" applyProtection="1">
      <alignment vertical="center"/>
      <protection hidden="1"/>
    </xf>
    <xf numFmtId="0" fontId="318" fillId="37" borderId="0" xfId="0" applyFont="1" applyFill="1" applyAlignment="1" applyProtection="1">
      <alignment vertical="center"/>
      <protection hidden="1"/>
    </xf>
    <xf numFmtId="0" fontId="28" fillId="37" borderId="0" xfId="0" applyFont="1" applyFill="1" applyAlignment="1" applyProtection="1">
      <alignment vertical="center"/>
      <protection hidden="1"/>
    </xf>
    <xf numFmtId="0" fontId="237" fillId="37" borderId="0" xfId="0" applyFont="1" applyFill="1" applyAlignment="1" applyProtection="1">
      <alignment vertical="center"/>
      <protection hidden="1"/>
    </xf>
    <xf numFmtId="0" fontId="6" fillId="37" borderId="0" xfId="0" applyFont="1" applyFill="1" applyAlignment="1" applyProtection="1">
      <alignment horizontal="center" vertical="center"/>
      <protection hidden="1"/>
    </xf>
    <xf numFmtId="190" fontId="6" fillId="37" borderId="31" xfId="6" applyNumberFormat="1" applyFont="1" applyFill="1" applyBorder="1" applyAlignment="1" applyProtection="1">
      <alignment vertical="center" shrinkToFit="1"/>
      <protection hidden="1"/>
    </xf>
    <xf numFmtId="181" fontId="6" fillId="37" borderId="31" xfId="6" applyNumberFormat="1" applyFont="1" applyFill="1" applyBorder="1" applyAlignment="1" applyProtection="1">
      <alignment vertical="center" shrinkToFit="1"/>
      <protection hidden="1"/>
    </xf>
    <xf numFmtId="181" fontId="6" fillId="37" borderId="118" xfId="6" applyNumberFormat="1" applyFont="1" applyFill="1" applyBorder="1" applyAlignment="1" applyProtection="1">
      <alignment vertical="center" shrinkToFit="1"/>
      <protection hidden="1"/>
    </xf>
    <xf numFmtId="181" fontId="237" fillId="37" borderId="31" xfId="6" applyNumberFormat="1" applyFont="1" applyFill="1" applyBorder="1" applyAlignment="1" applyProtection="1">
      <alignment vertical="center" shrinkToFit="1"/>
      <protection hidden="1"/>
    </xf>
    <xf numFmtId="180" fontId="249" fillId="37" borderId="229" xfId="6" applyNumberFormat="1" applyFont="1" applyFill="1" applyBorder="1" applyAlignment="1" applyProtection="1">
      <alignment vertical="center" shrinkToFit="1"/>
      <protection hidden="1"/>
    </xf>
    <xf numFmtId="180" fontId="249" fillId="37" borderId="0" xfId="6" applyNumberFormat="1" applyFont="1" applyFill="1" applyAlignment="1" applyProtection="1">
      <alignment vertical="center" shrinkToFit="1"/>
      <protection hidden="1"/>
    </xf>
    <xf numFmtId="181" fontId="83" fillId="37" borderId="0" xfId="6" applyNumberFormat="1" applyFont="1" applyFill="1" applyAlignment="1" applyProtection="1">
      <alignment vertical="center" shrinkToFit="1"/>
      <protection hidden="1"/>
    </xf>
    <xf numFmtId="181" fontId="237" fillId="37" borderId="0" xfId="6" applyNumberFormat="1" applyFont="1" applyFill="1" applyAlignment="1" applyProtection="1">
      <alignment vertical="center" shrinkToFit="1"/>
      <protection hidden="1"/>
    </xf>
    <xf numFmtId="181" fontId="249" fillId="37" borderId="16" xfId="6" applyNumberFormat="1" applyFont="1" applyFill="1" applyBorder="1" applyAlignment="1" applyProtection="1">
      <alignment vertical="center" shrinkToFit="1"/>
      <protection hidden="1"/>
    </xf>
    <xf numFmtId="165" fontId="235" fillId="37" borderId="0" xfId="0" applyNumberFormat="1" applyFont="1" applyFill="1" applyAlignment="1" applyProtection="1">
      <alignment horizontal="center" vertical="center"/>
      <protection hidden="1"/>
    </xf>
    <xf numFmtId="0" fontId="238" fillId="37" borderId="0" xfId="0" applyFont="1" applyFill="1" applyAlignment="1" applyProtection="1">
      <alignment vertical="center"/>
      <protection hidden="1"/>
    </xf>
    <xf numFmtId="0" fontId="146" fillId="44" borderId="0" xfId="0" applyFont="1" applyFill="1" applyAlignment="1" applyProtection="1">
      <alignment horizontal="left" vertical="center"/>
      <protection hidden="1"/>
    </xf>
    <xf numFmtId="0" fontId="233" fillId="44" borderId="0" xfId="0" applyFont="1" applyFill="1" applyAlignment="1" applyProtection="1">
      <alignment horizontal="left" vertical="center"/>
      <protection hidden="1"/>
    </xf>
    <xf numFmtId="0" fontId="146" fillId="0" borderId="0" xfId="0" applyFont="1" applyFill="1" applyAlignment="1" applyProtection="1">
      <alignment horizontal="left" vertical="center"/>
      <protection hidden="1"/>
    </xf>
    <xf numFmtId="0" fontId="233" fillId="0" borderId="210" xfId="0" applyFont="1" applyFill="1" applyBorder="1" applyAlignment="1" applyProtection="1">
      <alignment horizontal="center" vertical="center"/>
      <protection hidden="1"/>
    </xf>
    <xf numFmtId="1" fontId="236" fillId="0" borderId="0" xfId="0" applyNumberFormat="1" applyFont="1" applyFill="1" applyAlignment="1" applyProtection="1">
      <alignment horizontal="center" vertical="center"/>
      <protection hidden="1"/>
    </xf>
    <xf numFmtId="0" fontId="18" fillId="0" borderId="210" xfId="0" applyFont="1" applyFill="1" applyBorder="1" applyAlignment="1" applyProtection="1">
      <alignment horizontal="center" vertical="center"/>
      <protection hidden="1"/>
    </xf>
    <xf numFmtId="2" fontId="233" fillId="0" borderId="0" xfId="0" applyNumberFormat="1" applyFont="1" applyFill="1" applyAlignment="1" applyProtection="1">
      <alignment vertical="center"/>
      <protection hidden="1"/>
    </xf>
    <xf numFmtId="0" fontId="303" fillId="0" borderId="0" xfId="0" applyFont="1"/>
    <xf numFmtId="1" fontId="4" fillId="37" borderId="4" xfId="0" quotePrefix="1" applyNumberFormat="1" applyFont="1" applyFill="1" applyBorder="1" applyAlignment="1" applyProtection="1">
      <alignment horizontal="right" vertical="center"/>
      <protection hidden="1"/>
    </xf>
    <xf numFmtId="165" fontId="237" fillId="37" borderId="271" xfId="0" applyNumberFormat="1" applyFont="1" applyFill="1" applyBorder="1" applyAlignment="1" applyProtection="1">
      <alignment horizontal="center" vertical="center"/>
      <protection hidden="1"/>
    </xf>
    <xf numFmtId="0" fontId="6" fillId="37" borderId="271" xfId="0" applyFont="1" applyFill="1" applyBorder="1" applyAlignment="1" applyProtection="1">
      <alignment horizontal="center" vertical="center" shrinkToFit="1"/>
      <protection hidden="1"/>
    </xf>
    <xf numFmtId="1" fontId="6" fillId="37" borderId="271" xfId="0" applyNumberFormat="1" applyFont="1" applyFill="1" applyBorder="1" applyAlignment="1" applyProtection="1">
      <alignment horizontal="center" vertical="center"/>
      <protection hidden="1"/>
    </xf>
    <xf numFmtId="1" fontId="12" fillId="37" borderId="271" xfId="0" applyNumberFormat="1" applyFont="1" applyFill="1" applyBorder="1" applyAlignment="1" applyProtection="1">
      <alignment vertical="center" shrinkToFit="1"/>
      <protection hidden="1"/>
    </xf>
    <xf numFmtId="165" fontId="6" fillId="37" borderId="271" xfId="0" applyNumberFormat="1" applyFont="1" applyFill="1" applyBorder="1" applyAlignment="1" applyProtection="1">
      <alignment vertical="center"/>
      <protection hidden="1"/>
    </xf>
    <xf numFmtId="1" fontId="10" fillId="37" borderId="17" xfId="0" applyNumberFormat="1" applyFont="1" applyFill="1" applyBorder="1" applyAlignment="1" applyProtection="1">
      <alignment horizontal="center" vertical="center"/>
      <protection hidden="1"/>
    </xf>
    <xf numFmtId="1" fontId="6" fillId="37" borderId="9" xfId="0" applyNumberFormat="1" applyFont="1" applyFill="1" applyBorder="1" applyAlignment="1" applyProtection="1">
      <alignment vertical="center" shrinkToFit="1"/>
      <protection hidden="1"/>
    </xf>
    <xf numFmtId="0" fontId="6" fillId="37" borderId="0" xfId="0" applyFont="1" applyFill="1" applyAlignment="1" applyProtection="1">
      <alignment vertical="center"/>
      <protection hidden="1"/>
    </xf>
    <xf numFmtId="0" fontId="6" fillId="37" borderId="0" xfId="0" applyFont="1" applyFill="1" applyAlignment="1" applyProtection="1">
      <alignment horizontal="right" vertical="center"/>
      <protection hidden="1"/>
    </xf>
    <xf numFmtId="1" fontId="320" fillId="37" borderId="0" xfId="0" applyNumberFormat="1" applyFont="1" applyFill="1" applyAlignment="1" applyProtection="1">
      <alignment horizontal="center" vertical="center"/>
      <protection hidden="1"/>
    </xf>
    <xf numFmtId="0" fontId="320" fillId="37" borderId="0" xfId="0" applyFont="1" applyFill="1" applyAlignment="1" applyProtection="1">
      <alignment horizontal="center" vertical="center"/>
      <protection hidden="1"/>
    </xf>
    <xf numFmtId="2" fontId="83" fillId="37" borderId="0" xfId="0" applyNumberFormat="1" applyFont="1" applyFill="1" applyAlignment="1" applyProtection="1">
      <alignment horizontal="center" vertical="center"/>
      <protection hidden="1"/>
    </xf>
    <xf numFmtId="0" fontId="6" fillId="37" borderId="0" xfId="0" applyFont="1" applyFill="1" applyAlignment="1">
      <alignment vertical="center"/>
    </xf>
    <xf numFmtId="0" fontId="318" fillId="37" borderId="16" xfId="0" applyFont="1" applyFill="1" applyBorder="1" applyProtection="1">
      <protection hidden="1"/>
    </xf>
    <xf numFmtId="0" fontId="11" fillId="37" borderId="11" xfId="0" applyFont="1" applyFill="1" applyBorder="1" applyProtection="1">
      <protection hidden="1"/>
    </xf>
    <xf numFmtId="0" fontId="12" fillId="37" borderId="268" xfId="0" applyFont="1" applyFill="1" applyBorder="1" applyAlignment="1" applyProtection="1">
      <alignment horizontal="right"/>
      <protection hidden="1"/>
    </xf>
    <xf numFmtId="168" fontId="6" fillId="37" borderId="268" xfId="0" applyNumberFormat="1" applyFont="1" applyFill="1" applyBorder="1" applyProtection="1">
      <protection hidden="1"/>
    </xf>
    <xf numFmtId="169" fontId="12" fillId="37" borderId="0" xfId="0" applyNumberFormat="1" applyFont="1" applyFill="1" applyAlignment="1" applyProtection="1">
      <alignment shrinkToFit="1"/>
      <protection hidden="1"/>
    </xf>
    <xf numFmtId="169" fontId="6" fillId="37" borderId="0" xfId="0" applyNumberFormat="1" applyFont="1" applyFill="1" applyProtection="1">
      <protection hidden="1"/>
    </xf>
    <xf numFmtId="0" fontId="32" fillId="37" borderId="268" xfId="0" applyFont="1" applyFill="1" applyBorder="1" applyAlignment="1" applyProtection="1">
      <alignment horizontal="center"/>
      <protection hidden="1"/>
    </xf>
    <xf numFmtId="0" fontId="29" fillId="37" borderId="268" xfId="0" applyFont="1" applyFill="1" applyBorder="1" applyAlignment="1" applyProtection="1">
      <alignment horizontal="center"/>
      <protection hidden="1"/>
    </xf>
    <xf numFmtId="0" fontId="36" fillId="37" borderId="268" xfId="0" applyFont="1" applyFill="1" applyBorder="1" applyAlignment="1" applyProtection="1">
      <alignment horizontal="center"/>
      <protection hidden="1"/>
    </xf>
    <xf numFmtId="169" fontId="6" fillId="37" borderId="0" xfId="0" applyNumberFormat="1" applyFont="1" applyFill="1" applyAlignment="1" applyProtection="1">
      <alignment shrinkToFit="1"/>
      <protection hidden="1"/>
    </xf>
    <xf numFmtId="169" fontId="6" fillId="37" borderId="16" xfId="0" applyNumberFormat="1" applyFont="1" applyFill="1" applyBorder="1" applyAlignment="1" applyProtection="1">
      <alignment shrinkToFit="1"/>
      <protection hidden="1"/>
    </xf>
    <xf numFmtId="169" fontId="31" fillId="37" borderId="0" xfId="0" applyNumberFormat="1" applyFont="1" applyFill="1" applyProtection="1">
      <protection hidden="1"/>
    </xf>
    <xf numFmtId="0" fontId="6" fillId="37" borderId="0" xfId="0" applyFont="1" applyFill="1"/>
    <xf numFmtId="168" fontId="6" fillId="37" borderId="64" xfId="0" applyNumberFormat="1" applyFont="1" applyFill="1" applyBorder="1" applyProtection="1">
      <protection hidden="1"/>
    </xf>
    <xf numFmtId="168" fontId="6" fillId="37" borderId="8" xfId="0" applyNumberFormat="1" applyFont="1" applyFill="1" applyBorder="1" applyProtection="1">
      <protection hidden="1"/>
    </xf>
    <xf numFmtId="168" fontId="6" fillId="37" borderId="29" xfId="0" applyNumberFormat="1" applyFont="1" applyFill="1" applyBorder="1" applyProtection="1">
      <protection hidden="1"/>
    </xf>
    <xf numFmtId="0" fontId="6" fillId="37" borderId="0" xfId="0" applyFont="1" applyFill="1" applyProtection="1">
      <protection hidden="1"/>
    </xf>
    <xf numFmtId="1" fontId="83" fillId="37" borderId="2" xfId="0" applyNumberFormat="1" applyFont="1" applyFill="1" applyBorder="1" applyProtection="1">
      <protection hidden="1"/>
    </xf>
    <xf numFmtId="1" fontId="83" fillId="37" borderId="0" xfId="0" applyNumberFormat="1" applyFont="1" applyFill="1" applyAlignment="1" applyProtection="1">
      <alignment horizontal="center"/>
      <protection hidden="1"/>
    </xf>
    <xf numFmtId="1" fontId="159" fillId="37" borderId="16" xfId="0" applyNumberFormat="1" applyFont="1" applyFill="1" applyBorder="1" applyAlignment="1" applyProtection="1">
      <alignment horizontal="center"/>
      <protection hidden="1"/>
    </xf>
    <xf numFmtId="9" fontId="83" fillId="37" borderId="2" xfId="3" applyFont="1" applyFill="1" applyBorder="1" applyAlignment="1">
      <alignment horizontal="center"/>
    </xf>
    <xf numFmtId="1" fontId="159" fillId="37" borderId="0" xfId="0" applyNumberFormat="1" applyFont="1" applyFill="1" applyAlignment="1" applyProtection="1">
      <alignment horizontal="center"/>
      <protection hidden="1"/>
    </xf>
    <xf numFmtId="1" fontId="83" fillId="37" borderId="16" xfId="0" applyNumberFormat="1" applyFont="1" applyFill="1" applyBorder="1" applyAlignment="1" applyProtection="1">
      <alignment horizontal="center"/>
      <protection hidden="1"/>
    </xf>
    <xf numFmtId="9" fontId="83" fillId="37" borderId="0" xfId="3" applyFont="1" applyFill="1" applyBorder="1" applyAlignment="1" applyProtection="1">
      <alignment horizontal="center"/>
      <protection hidden="1"/>
    </xf>
    <xf numFmtId="1" fontId="83" fillId="37" borderId="2" xfId="0" applyNumberFormat="1" applyFont="1" applyFill="1" applyBorder="1" applyAlignment="1" applyProtection="1">
      <alignment horizontal="center"/>
      <protection hidden="1"/>
    </xf>
    <xf numFmtId="1" fontId="83" fillId="37" borderId="56" xfId="0" applyNumberFormat="1" applyFont="1" applyFill="1" applyBorder="1" applyAlignment="1" applyProtection="1">
      <alignment horizontal="center"/>
      <protection hidden="1"/>
    </xf>
    <xf numFmtId="1" fontId="135" fillId="37" borderId="2" xfId="0" applyNumberFormat="1" applyFont="1" applyFill="1" applyBorder="1" applyAlignment="1" applyProtection="1">
      <alignment horizontal="center"/>
      <protection hidden="1"/>
    </xf>
    <xf numFmtId="1" fontId="120" fillId="37" borderId="2" xfId="0" applyNumberFormat="1" applyFont="1" applyFill="1" applyBorder="1" applyAlignment="1" applyProtection="1">
      <alignment horizontal="center"/>
      <protection hidden="1"/>
    </xf>
    <xf numFmtId="1" fontId="175" fillId="37" borderId="9" xfId="0" applyNumberFormat="1" applyFont="1" applyFill="1" applyBorder="1" applyAlignment="1" applyProtection="1">
      <alignment horizontal="center"/>
      <protection hidden="1"/>
    </xf>
    <xf numFmtId="1" fontId="170" fillId="37" borderId="0" xfId="0" applyNumberFormat="1" applyFont="1" applyFill="1" applyAlignment="1" applyProtection="1">
      <alignment horizontal="right"/>
      <protection hidden="1"/>
    </xf>
    <xf numFmtId="1" fontId="121" fillId="37" borderId="16" xfId="0" applyNumberFormat="1" applyFont="1" applyFill="1" applyBorder="1" applyAlignment="1" applyProtection="1">
      <alignment horizontal="right"/>
      <protection hidden="1"/>
    </xf>
    <xf numFmtId="0" fontId="318" fillId="37" borderId="274" xfId="0" applyFont="1" applyFill="1" applyBorder="1" applyProtection="1">
      <protection hidden="1"/>
    </xf>
    <xf numFmtId="0" fontId="11" fillId="37" borderId="2" xfId="0" applyFont="1" applyFill="1" applyBorder="1" applyProtection="1">
      <protection hidden="1"/>
    </xf>
    <xf numFmtId="0" fontId="12" fillId="37" borderId="0" xfId="0" applyFont="1" applyFill="1" applyBorder="1" applyAlignment="1" applyProtection="1">
      <alignment horizontal="right"/>
      <protection hidden="1"/>
    </xf>
    <xf numFmtId="168" fontId="6" fillId="37" borderId="0" xfId="0" applyNumberFormat="1" applyFont="1" applyFill="1" applyBorder="1" applyProtection="1">
      <protection hidden="1"/>
    </xf>
    <xf numFmtId="169" fontId="6" fillId="37" borderId="274" xfId="0" applyNumberFormat="1" applyFont="1" applyFill="1" applyBorder="1" applyAlignment="1" applyProtection="1">
      <alignment shrinkToFit="1"/>
      <protection hidden="1"/>
    </xf>
    <xf numFmtId="1" fontId="159" fillId="37" borderId="274" xfId="0" applyNumberFormat="1" applyFont="1" applyFill="1" applyBorder="1" applyAlignment="1" applyProtection="1">
      <alignment horizontal="center"/>
      <protection hidden="1"/>
    </xf>
    <xf numFmtId="1" fontId="83" fillId="37" borderId="274" xfId="0" applyNumberFormat="1" applyFont="1" applyFill="1" applyBorder="1" applyAlignment="1" applyProtection="1">
      <alignment horizontal="center"/>
      <protection hidden="1"/>
    </xf>
    <xf numFmtId="1" fontId="121" fillId="37" borderId="274" xfId="0" applyNumberFormat="1" applyFont="1" applyFill="1" applyBorder="1" applyAlignment="1" applyProtection="1">
      <alignment horizontal="right"/>
      <protection hidden="1"/>
    </xf>
    <xf numFmtId="1" fontId="12" fillId="0" borderId="2" xfId="0" applyNumberFormat="1" applyFont="1" applyBorder="1" applyProtection="1">
      <protection hidden="1"/>
    </xf>
    <xf numFmtId="1" fontId="83" fillId="0" borderId="0" xfId="0" applyNumberFormat="1" applyFont="1" applyBorder="1" applyAlignment="1" applyProtection="1">
      <alignment horizontal="right"/>
      <protection hidden="1"/>
    </xf>
    <xf numFmtId="1" fontId="6" fillId="0" borderId="0" xfId="0" applyNumberFormat="1" applyFont="1" applyBorder="1" applyAlignment="1" applyProtection="1">
      <alignment horizontal="center"/>
      <protection hidden="1"/>
    </xf>
    <xf numFmtId="0" fontId="32" fillId="37" borderId="267" xfId="0" applyFont="1" applyFill="1" applyBorder="1" applyAlignment="1" applyProtection="1">
      <alignment horizontal="center"/>
      <protection hidden="1"/>
    </xf>
    <xf numFmtId="0" fontId="29" fillId="37" borderId="267" xfId="0" applyFont="1" applyFill="1" applyBorder="1" applyAlignment="1" applyProtection="1">
      <alignment horizontal="center"/>
      <protection hidden="1"/>
    </xf>
    <xf numFmtId="0" fontId="36" fillId="37" borderId="267" xfId="0" applyFont="1" applyFill="1" applyBorder="1" applyAlignment="1" applyProtection="1">
      <alignment horizontal="center"/>
      <protection hidden="1"/>
    </xf>
    <xf numFmtId="0" fontId="32" fillId="37" borderId="0" xfId="0" applyFont="1" applyFill="1" applyBorder="1" applyAlignment="1" applyProtection="1">
      <alignment horizontal="center"/>
      <protection hidden="1"/>
    </xf>
    <xf numFmtId="0" fontId="29" fillId="37" borderId="0" xfId="0" applyFont="1" applyFill="1" applyBorder="1" applyAlignment="1" applyProtection="1">
      <alignment horizontal="center"/>
      <protection hidden="1"/>
    </xf>
    <xf numFmtId="0" fontId="36" fillId="37" borderId="0" xfId="0" applyFont="1" applyFill="1" applyBorder="1" applyAlignment="1" applyProtection="1">
      <alignment horizontal="center"/>
      <protection hidden="1"/>
    </xf>
    <xf numFmtId="1" fontId="12" fillId="0" borderId="272" xfId="0" applyNumberFormat="1" applyFont="1" applyBorder="1" applyProtection="1">
      <protection hidden="1"/>
    </xf>
    <xf numFmtId="1" fontId="6" fillId="0" borderId="274" xfId="0" applyNumberFormat="1" applyFont="1" applyBorder="1" applyAlignment="1" applyProtection="1">
      <alignment horizontal="center"/>
      <protection hidden="1"/>
    </xf>
    <xf numFmtId="169" fontId="12" fillId="37" borderId="268" xfId="0" applyNumberFormat="1" applyFont="1" applyFill="1" applyBorder="1" applyAlignment="1" applyProtection="1">
      <alignment shrinkToFit="1"/>
      <protection hidden="1"/>
    </xf>
    <xf numFmtId="169" fontId="6" fillId="37" borderId="268" xfId="0" applyNumberFormat="1" applyFont="1" applyFill="1" applyBorder="1" applyProtection="1">
      <protection hidden="1"/>
    </xf>
    <xf numFmtId="1" fontId="6" fillId="37" borderId="11" xfId="0" applyNumberFormat="1" applyFont="1" applyFill="1" applyBorder="1" applyAlignment="1" applyProtection="1">
      <alignment horizontal="left" vertical="center"/>
      <protection hidden="1"/>
    </xf>
    <xf numFmtId="165" fontId="6" fillId="37" borderId="268" xfId="0" applyNumberFormat="1" applyFont="1" applyFill="1" applyBorder="1" applyAlignment="1" applyProtection="1">
      <alignment horizontal="center" vertical="center"/>
      <protection hidden="1"/>
    </xf>
    <xf numFmtId="0" fontId="6" fillId="37" borderId="268" xfId="0" applyFont="1" applyFill="1" applyBorder="1" applyAlignment="1" applyProtection="1">
      <alignment horizontal="center" vertical="center" shrinkToFit="1"/>
      <protection hidden="1"/>
    </xf>
    <xf numFmtId="1" fontId="6" fillId="37" borderId="268" xfId="0" applyNumberFormat="1" applyFont="1" applyFill="1" applyBorder="1" applyAlignment="1" applyProtection="1">
      <alignment horizontal="center" vertical="center"/>
      <protection locked="0"/>
    </xf>
    <xf numFmtId="1" fontId="12" fillId="37" borderId="268" xfId="0" applyNumberFormat="1" applyFont="1" applyFill="1" applyBorder="1" applyAlignment="1" applyProtection="1">
      <alignment vertical="center" shrinkToFit="1"/>
      <protection hidden="1"/>
    </xf>
    <xf numFmtId="1" fontId="6" fillId="37" borderId="268" xfId="0" applyNumberFormat="1" applyFont="1" applyFill="1" applyBorder="1" applyAlignment="1" applyProtection="1">
      <alignment horizontal="center" vertical="center"/>
      <protection hidden="1"/>
    </xf>
    <xf numFmtId="165" fontId="6" fillId="37" borderId="268" xfId="0" applyNumberFormat="1" applyFont="1" applyFill="1" applyBorder="1" applyAlignment="1" applyProtection="1">
      <alignment vertical="center"/>
      <protection hidden="1"/>
    </xf>
    <xf numFmtId="1" fontId="10" fillId="37" borderId="275" xfId="0" applyNumberFormat="1" applyFont="1" applyFill="1" applyBorder="1" applyAlignment="1" applyProtection="1">
      <alignment horizontal="center" vertical="center"/>
      <protection hidden="1"/>
    </xf>
    <xf numFmtId="0" fontId="29" fillId="0" borderId="268" xfId="0" applyFont="1" applyBorder="1" applyAlignment="1">
      <alignment horizontal="left" vertical="top"/>
    </xf>
    <xf numFmtId="0" fontId="169" fillId="0" borderId="268" xfId="0" applyFont="1" applyBorder="1" applyAlignment="1">
      <alignment horizontal="left" vertical="top"/>
    </xf>
    <xf numFmtId="0" fontId="344" fillId="0" borderId="268" xfId="0" applyFont="1" applyBorder="1" applyAlignment="1">
      <alignment horizontal="right" vertical="center"/>
    </xf>
    <xf numFmtId="0" fontId="6" fillId="0" borderId="0" xfId="0" applyFont="1" applyBorder="1" applyAlignment="1" applyProtection="1">
      <alignment vertical="center"/>
      <protection hidden="1"/>
    </xf>
    <xf numFmtId="0" fontId="6" fillId="37" borderId="143" xfId="0" applyFont="1" applyFill="1" applyBorder="1" applyAlignment="1" applyProtection="1">
      <alignment horizontal="center" vertical="center"/>
      <protection hidden="1"/>
    </xf>
    <xf numFmtId="0" fontId="11" fillId="37" borderId="117" xfId="0" applyFont="1" applyFill="1" applyBorder="1" applyAlignment="1">
      <alignment vertical="center"/>
    </xf>
    <xf numFmtId="0" fontId="11" fillId="37" borderId="118" xfId="0" applyFont="1" applyFill="1" applyBorder="1" applyAlignment="1" applyProtection="1">
      <alignment vertical="center"/>
      <protection hidden="1"/>
    </xf>
    <xf numFmtId="2" fontId="11" fillId="37" borderId="94" xfId="0" applyNumberFormat="1" applyFont="1" applyFill="1" applyBorder="1" applyAlignment="1" applyProtection="1">
      <alignment vertical="center"/>
      <protection hidden="1"/>
    </xf>
    <xf numFmtId="0" fontId="11" fillId="37" borderId="33" xfId="0" applyFont="1" applyFill="1" applyBorder="1" applyAlignment="1" applyProtection="1">
      <alignment vertical="center"/>
      <protection hidden="1"/>
    </xf>
    <xf numFmtId="2" fontId="97" fillId="37" borderId="141" xfId="0" applyNumberFormat="1" applyFont="1" applyFill="1" applyBorder="1" applyProtection="1">
      <protection hidden="1"/>
    </xf>
    <xf numFmtId="0" fontId="11" fillId="37" borderId="272" xfId="0" applyFont="1" applyFill="1" applyBorder="1" applyProtection="1">
      <protection hidden="1"/>
    </xf>
    <xf numFmtId="0" fontId="11" fillId="37" borderId="0" xfId="0" applyFont="1" applyFill="1" applyAlignment="1" applyProtection="1">
      <alignment horizontal="center" vertical="center"/>
      <protection hidden="1"/>
    </xf>
    <xf numFmtId="0" fontId="11" fillId="0" borderId="274" xfId="0" applyFont="1" applyBorder="1" applyProtection="1">
      <protection hidden="1"/>
    </xf>
    <xf numFmtId="0" fontId="11" fillId="37" borderId="274" xfId="0" applyFont="1" applyFill="1" applyBorder="1" applyAlignment="1" applyProtection="1">
      <alignment horizontal="center"/>
      <protection hidden="1"/>
    </xf>
    <xf numFmtId="0" fontId="11" fillId="37" borderId="0" xfId="0" applyFont="1" applyFill="1"/>
    <xf numFmtId="0" fontId="97" fillId="37" borderId="0" xfId="0" applyFont="1" applyFill="1" applyAlignment="1" applyProtection="1">
      <alignment horizontal="center"/>
      <protection hidden="1"/>
    </xf>
    <xf numFmtId="0" fontId="11" fillId="29" borderId="0" xfId="0" applyFont="1" applyFill="1" applyAlignment="1" applyProtection="1">
      <alignment horizontal="center"/>
      <protection hidden="1"/>
    </xf>
    <xf numFmtId="0" fontId="97" fillId="0" borderId="139" xfId="0" applyFont="1" applyBorder="1" applyAlignment="1" applyProtection="1">
      <alignment horizontal="center" vertical="center"/>
      <protection hidden="1"/>
    </xf>
    <xf numFmtId="0" fontId="97" fillId="0" borderId="106" xfId="0" applyFont="1" applyBorder="1" applyAlignment="1" applyProtection="1">
      <alignment horizontal="center" vertical="center"/>
      <protection hidden="1"/>
    </xf>
    <xf numFmtId="0" fontId="97" fillId="0" borderId="2" xfId="0" applyFont="1" applyBorder="1" applyAlignment="1" applyProtection="1">
      <alignment horizontal="center" vertical="center"/>
      <protection hidden="1"/>
    </xf>
    <xf numFmtId="0" fontId="97" fillId="0" borderId="118" xfId="0" applyFont="1" applyBorder="1" applyAlignment="1" applyProtection="1">
      <alignment horizontal="center" vertical="center"/>
      <protection hidden="1"/>
    </xf>
    <xf numFmtId="0" fontId="97" fillId="0" borderId="132" xfId="0" applyFont="1" applyBorder="1" applyAlignment="1" applyProtection="1">
      <alignment horizontal="center" vertical="center"/>
      <protection hidden="1"/>
    </xf>
    <xf numFmtId="0" fontId="97" fillId="0" borderId="31" xfId="0" applyFont="1" applyBorder="1" applyAlignment="1" applyProtection="1">
      <alignment horizontal="center" vertical="center"/>
      <protection hidden="1"/>
    </xf>
    <xf numFmtId="0" fontId="97" fillId="0" borderId="121" xfId="0" applyFont="1" applyBorder="1" applyAlignment="1" applyProtection="1">
      <alignment horizontal="center" vertical="center"/>
      <protection hidden="1"/>
    </xf>
    <xf numFmtId="0" fontId="97" fillId="24" borderId="116" xfId="0" applyFont="1" applyFill="1" applyBorder="1" applyAlignment="1" applyProtection="1">
      <alignment horizontal="center" vertical="center"/>
      <protection hidden="1"/>
    </xf>
    <xf numFmtId="0" fontId="97" fillId="0" borderId="4" xfId="0" applyFont="1" applyBorder="1" applyAlignment="1" applyProtection="1">
      <alignment horizontal="center" vertical="center"/>
      <protection hidden="1"/>
    </xf>
    <xf numFmtId="0" fontId="97" fillId="0" borderId="110" xfId="0" applyFont="1" applyBorder="1" applyAlignment="1" applyProtection="1">
      <alignment horizontal="center" vertical="center"/>
      <protection hidden="1"/>
    </xf>
    <xf numFmtId="0" fontId="97" fillId="0" borderId="272" xfId="0" applyFont="1" applyBorder="1" applyAlignment="1" applyProtection="1">
      <alignment horizontal="center" vertical="center"/>
      <protection hidden="1"/>
    </xf>
    <xf numFmtId="0" fontId="97" fillId="0" borderId="135" xfId="0" applyFont="1" applyBorder="1" applyAlignment="1" applyProtection="1">
      <alignment horizontal="center" vertical="center"/>
      <protection hidden="1"/>
    </xf>
    <xf numFmtId="0" fontId="97" fillId="24" borderId="31" xfId="0" applyFont="1" applyFill="1" applyBorder="1" applyAlignment="1" applyProtection="1">
      <alignment horizontal="center" vertical="center"/>
      <protection hidden="1"/>
    </xf>
    <xf numFmtId="0" fontId="97" fillId="6" borderId="116" xfId="0" applyFont="1" applyFill="1" applyBorder="1" applyAlignment="1" applyProtection="1">
      <alignment horizontal="center" vertical="center"/>
      <protection hidden="1"/>
    </xf>
    <xf numFmtId="0" fontId="97" fillId="0" borderId="140" xfId="0" applyFont="1" applyBorder="1" applyAlignment="1" applyProtection="1">
      <alignment horizontal="center" vertical="center"/>
      <protection hidden="1"/>
    </xf>
    <xf numFmtId="0" fontId="97" fillId="0" borderId="115" xfId="0" applyFont="1" applyBorder="1" applyAlignment="1" applyProtection="1">
      <alignment horizontal="center" vertical="center"/>
      <protection hidden="1"/>
    </xf>
    <xf numFmtId="0" fontId="97" fillId="15" borderId="0" xfId="0" applyFont="1" applyFill="1" applyAlignment="1" applyProtection="1">
      <alignment horizontal="center" vertical="center"/>
      <protection hidden="1"/>
    </xf>
    <xf numFmtId="0" fontId="97" fillId="0" borderId="114" xfId="0" applyFont="1" applyBorder="1" applyAlignment="1" applyProtection="1">
      <alignment horizontal="center" vertical="center"/>
      <protection hidden="1"/>
    </xf>
    <xf numFmtId="0" fontId="97" fillId="37" borderId="114" xfId="0" applyFont="1" applyFill="1" applyBorder="1" applyAlignment="1" applyProtection="1">
      <alignment horizontal="center" vertical="center"/>
      <protection hidden="1"/>
    </xf>
    <xf numFmtId="0" fontId="11" fillId="6" borderId="0" xfId="0" applyFont="1" applyFill="1" applyAlignment="1" applyProtection="1">
      <alignment horizontal="center" vertical="center"/>
      <protection hidden="1"/>
    </xf>
    <xf numFmtId="0" fontId="11" fillId="0" borderId="160" xfId="0" applyFont="1" applyBorder="1" applyProtection="1">
      <protection hidden="1"/>
    </xf>
    <xf numFmtId="0" fontId="11" fillId="0" borderId="15" xfId="0" applyFont="1" applyBorder="1" applyProtection="1">
      <protection hidden="1"/>
    </xf>
    <xf numFmtId="0" fontId="11" fillId="0" borderId="268" xfId="0" applyFont="1" applyBorder="1" applyAlignment="1" applyProtection="1">
      <alignment horizontal="center" vertical="center"/>
      <protection hidden="1"/>
    </xf>
    <xf numFmtId="1" fontId="6" fillId="0" borderId="0" xfId="0" applyNumberFormat="1" applyFont="1" applyBorder="1" applyAlignment="1" applyProtection="1">
      <alignment vertical="center"/>
      <protection hidden="1"/>
    </xf>
    <xf numFmtId="0" fontId="29" fillId="0" borderId="0" xfId="0" applyFont="1" applyBorder="1" applyAlignment="1">
      <alignment horizontal="left" vertical="top"/>
    </xf>
    <xf numFmtId="0" fontId="169" fillId="0" borderId="0" xfId="0" applyFont="1" applyBorder="1" applyAlignment="1">
      <alignment horizontal="left" vertical="top"/>
    </xf>
    <xf numFmtId="0" fontId="344" fillId="0" borderId="0" xfId="0" applyFont="1" applyBorder="1" applyAlignment="1">
      <alignment horizontal="right" vertical="center"/>
    </xf>
    <xf numFmtId="1" fontId="6" fillId="0" borderId="0" xfId="0" applyNumberFormat="1" applyFont="1" applyBorder="1" applyAlignment="1">
      <alignment vertical="center"/>
    </xf>
    <xf numFmtId="1" fontId="6" fillId="0" borderId="0" xfId="0" applyNumberFormat="1" applyFont="1" applyBorder="1" applyAlignment="1">
      <alignment horizontal="left" vertical="center"/>
    </xf>
    <xf numFmtId="165" fontId="6" fillId="0" borderId="0" xfId="0" applyNumberFormat="1" applyFont="1" applyBorder="1" applyAlignment="1">
      <alignment vertical="center"/>
    </xf>
    <xf numFmtId="165" fontId="309" fillId="0" borderId="17" xfId="0" applyNumberFormat="1" applyFont="1" applyBorder="1" applyAlignment="1">
      <alignment horizontal="center" vertical="center"/>
    </xf>
    <xf numFmtId="0" fontId="83" fillId="0" borderId="272" xfId="0" applyFont="1" applyBorder="1" applyProtection="1">
      <protection hidden="1"/>
    </xf>
    <xf numFmtId="0" fontId="301" fillId="0" borderId="268" xfId="0" applyFont="1" applyBorder="1" applyProtection="1">
      <protection hidden="1"/>
    </xf>
    <xf numFmtId="0" fontId="301" fillId="31" borderId="0" xfId="0" applyFont="1" applyFill="1" applyAlignment="1" applyProtection="1">
      <alignment horizontal="center" vertical="center"/>
      <protection hidden="1"/>
    </xf>
    <xf numFmtId="0" fontId="301" fillId="31" borderId="5" xfId="0" applyFont="1" applyFill="1" applyBorder="1" applyAlignment="1" applyProtection="1">
      <alignment horizontal="center" vertical="center"/>
      <protection hidden="1"/>
    </xf>
    <xf numFmtId="0" fontId="119" fillId="0" borderId="11" xfId="0" applyFont="1" applyBorder="1" applyProtection="1">
      <protection hidden="1"/>
    </xf>
    <xf numFmtId="0" fontId="11" fillId="0" borderId="268" xfId="0" applyFont="1" applyBorder="1"/>
    <xf numFmtId="0" fontId="119" fillId="0" borderId="268" xfId="0" applyFont="1" applyBorder="1" applyAlignment="1" applyProtection="1">
      <alignment horizontal="center"/>
      <protection hidden="1"/>
    </xf>
    <xf numFmtId="0" fontId="6" fillId="0" borderId="64" xfId="0" applyFont="1" applyBorder="1" applyAlignment="1" applyProtection="1">
      <alignment horizontal="center" vertical="center"/>
      <protection hidden="1"/>
    </xf>
    <xf numFmtId="0" fontId="11" fillId="7" borderId="8" xfId="0" applyFont="1" applyFill="1" applyBorder="1" applyAlignment="1">
      <alignment horizontal="center" vertical="center"/>
    </xf>
    <xf numFmtId="2" fontId="11" fillId="0" borderId="28" xfId="0" applyNumberFormat="1" applyFont="1" applyBorder="1" applyAlignment="1">
      <alignment vertical="center"/>
    </xf>
    <xf numFmtId="0" fontId="11" fillId="0" borderId="44" xfId="0" applyFont="1" applyBorder="1" applyAlignment="1">
      <alignment vertical="center"/>
    </xf>
    <xf numFmtId="0" fontId="11" fillId="0" borderId="45" xfId="0" applyFont="1" applyBorder="1" applyAlignment="1">
      <alignment vertical="center"/>
    </xf>
    <xf numFmtId="166" fontId="97" fillId="0" borderId="60" xfId="0" applyNumberFormat="1" applyFont="1" applyBorder="1"/>
    <xf numFmtId="0" fontId="97" fillId="0" borderId="11" xfId="0" applyFont="1" applyBorder="1" applyAlignment="1" applyProtection="1">
      <alignment horizontal="center" vertical="center"/>
      <protection hidden="1"/>
    </xf>
    <xf numFmtId="0" fontId="11" fillId="7" borderId="268" xfId="0" applyFont="1" applyFill="1" applyBorder="1" applyProtection="1">
      <protection hidden="1"/>
    </xf>
    <xf numFmtId="0" fontId="387" fillId="0" borderId="0" xfId="0" applyFont="1" applyAlignment="1" applyProtection="1">
      <alignment horizontal="center" vertical="center"/>
      <protection hidden="1"/>
    </xf>
    <xf numFmtId="0" fontId="388" fillId="0" borderId="2" xfId="0" applyFont="1" applyBorder="1" applyAlignment="1" applyProtection="1">
      <alignment horizontal="right"/>
      <protection hidden="1"/>
    </xf>
    <xf numFmtId="166" fontId="387" fillId="0" borderId="0" xfId="0" applyNumberFormat="1" applyFont="1" applyAlignment="1" applyProtection="1">
      <alignment horizontal="center" vertical="center"/>
      <protection hidden="1"/>
    </xf>
    <xf numFmtId="0" fontId="388" fillId="0" borderId="2" xfId="0" quotePrefix="1" applyFont="1" applyBorder="1" applyAlignment="1" applyProtection="1">
      <alignment horizontal="right"/>
      <protection hidden="1"/>
    </xf>
    <xf numFmtId="166" fontId="388" fillId="0" borderId="0" xfId="0" applyNumberFormat="1" applyFont="1" applyAlignment="1" applyProtection="1">
      <alignment horizontal="left" vertical="center"/>
      <protection hidden="1"/>
    </xf>
    <xf numFmtId="0" fontId="391" fillId="0" borderId="0" xfId="0" applyFont="1" applyFill="1" applyAlignment="1" applyProtection="1">
      <alignment vertical="center"/>
      <protection hidden="1"/>
    </xf>
    <xf numFmtId="1" fontId="12" fillId="0" borderId="4" xfId="0" applyNumberFormat="1" applyFont="1" applyBorder="1" applyAlignment="1" applyProtection="1">
      <alignment horizontal="left" vertical="center"/>
      <protection hidden="1"/>
    </xf>
    <xf numFmtId="165" fontId="6" fillId="0" borderId="271" xfId="0" applyNumberFormat="1" applyFont="1" applyBorder="1" applyAlignment="1" applyProtection="1">
      <alignment horizontal="center" vertical="center"/>
      <protection hidden="1"/>
    </xf>
    <xf numFmtId="165" fontId="83" fillId="0" borderId="271" xfId="0" quotePrefix="1" applyNumberFormat="1" applyFont="1" applyBorder="1" applyAlignment="1" applyProtection="1">
      <alignment horizontal="right" vertical="center"/>
      <protection hidden="1"/>
    </xf>
    <xf numFmtId="1" fontId="6" fillId="39" borderId="271" xfId="0" applyNumberFormat="1" applyFont="1" applyFill="1" applyBorder="1" applyAlignment="1" applyProtection="1">
      <alignment horizontal="center" vertical="center"/>
      <protection locked="0"/>
    </xf>
    <xf numFmtId="0" fontId="96" fillId="0" borderId="0" xfId="1" applyAlignment="1" applyProtection="1">
      <alignment vertical="center"/>
      <protection hidden="1"/>
    </xf>
    <xf numFmtId="0" fontId="306" fillId="0" borderId="0" xfId="1" applyFont="1" applyAlignment="1" applyProtection="1">
      <alignment vertical="center"/>
      <protection hidden="1"/>
    </xf>
    <xf numFmtId="0" fontId="288" fillId="31" borderId="0" xfId="0" applyFont="1" applyFill="1" applyProtection="1">
      <protection hidden="1"/>
    </xf>
    <xf numFmtId="0" fontId="392" fillId="0" borderId="118" xfId="0" applyFont="1" applyBorder="1" applyAlignment="1" applyProtection="1">
      <alignment horizontal="center" vertical="center"/>
      <protection hidden="1"/>
    </xf>
    <xf numFmtId="0" fontId="119" fillId="0" borderId="0" xfId="0" applyFont="1" applyFill="1" applyProtection="1">
      <protection hidden="1"/>
    </xf>
    <xf numFmtId="0" fontId="11" fillId="0" borderId="0" xfId="0" applyFont="1" applyFill="1" applyProtection="1">
      <protection hidden="1"/>
    </xf>
    <xf numFmtId="2" fontId="101" fillId="0" borderId="0" xfId="0" applyNumberFormat="1" applyFont="1" applyBorder="1" applyAlignment="1" applyProtection="1">
      <alignment horizontal="center" vertical="center"/>
      <protection hidden="1"/>
    </xf>
    <xf numFmtId="1" fontId="11" fillId="0" borderId="267" xfId="0" applyNumberFormat="1" applyFont="1" applyBorder="1" applyProtection="1">
      <protection hidden="1"/>
    </xf>
    <xf numFmtId="0" fontId="11" fillId="7" borderId="267" xfId="0" applyFont="1" applyFill="1" applyBorder="1" applyProtection="1">
      <protection hidden="1"/>
    </xf>
    <xf numFmtId="0" fontId="271" fillId="0" borderId="267" xfId="0" applyFont="1" applyBorder="1"/>
    <xf numFmtId="9" fontId="273" fillId="0" borderId="267" xfId="3" applyFont="1" applyBorder="1" applyAlignment="1">
      <alignment horizontal="center" vertical="center"/>
    </xf>
    <xf numFmtId="0" fontId="124" fillId="0" borderId="0" xfId="0" applyFont="1" applyBorder="1" applyAlignment="1" applyProtection="1">
      <alignment horizontal="center" vertical="center"/>
      <protection hidden="1"/>
    </xf>
    <xf numFmtId="0" fontId="106" fillId="14" borderId="0" xfId="0" applyFont="1" applyFill="1" applyAlignment="1">
      <alignment horizontal="center"/>
    </xf>
    <xf numFmtId="0" fontId="106" fillId="14" borderId="22" xfId="0" applyFont="1" applyFill="1" applyBorder="1" applyAlignment="1">
      <alignment horizontal="center"/>
    </xf>
    <xf numFmtId="0" fontId="11" fillId="0" borderId="277" xfId="0" applyFont="1" applyBorder="1" applyAlignment="1">
      <alignment vertical="center"/>
    </xf>
    <xf numFmtId="0" fontId="11" fillId="7" borderId="277" xfId="0" applyFont="1" applyFill="1" applyBorder="1" applyAlignment="1">
      <alignment horizontal="center" vertical="center"/>
    </xf>
    <xf numFmtId="0" fontId="11" fillId="0" borderId="277" xfId="0" applyFont="1" applyBorder="1" applyAlignment="1">
      <alignment horizontal="center" vertical="center"/>
    </xf>
    <xf numFmtId="0" fontId="11" fillId="0" borderId="148" xfId="0" applyFont="1" applyBorder="1" applyAlignment="1">
      <alignment vertical="center"/>
    </xf>
    <xf numFmtId="0" fontId="11" fillId="0" borderId="278" xfId="0" applyFont="1" applyBorder="1" applyAlignment="1">
      <alignment vertical="center"/>
    </xf>
    <xf numFmtId="0" fontId="174" fillId="0" borderId="183" xfId="0" applyFont="1" applyBorder="1" applyAlignment="1">
      <alignment horizontal="right" vertical="center"/>
    </xf>
    <xf numFmtId="0" fontId="218" fillId="0" borderId="0" xfId="0" applyFont="1" applyAlignment="1" applyProtection="1">
      <alignment horizontal="center" vertical="center"/>
      <protection hidden="1"/>
    </xf>
    <xf numFmtId="0" fontId="83" fillId="0" borderId="14" xfId="0" applyFont="1" applyBorder="1" applyAlignment="1" applyProtection="1">
      <alignment horizontal="center" vertical="center"/>
      <protection hidden="1"/>
    </xf>
    <xf numFmtId="0" fontId="218" fillId="0" borderId="14" xfId="0" applyFont="1" applyBorder="1" applyAlignment="1" applyProtection="1">
      <alignment horizontal="center" vertical="center"/>
      <protection hidden="1"/>
    </xf>
    <xf numFmtId="0" fontId="11" fillId="45" borderId="0" xfId="0" applyFont="1" applyFill="1"/>
    <xf numFmtId="0" fontId="14" fillId="45" borderId="0" xfId="0" applyFont="1" applyFill="1"/>
    <xf numFmtId="0" fontId="83" fillId="45" borderId="0" xfId="0" applyFont="1" applyFill="1" applyAlignment="1" applyProtection="1">
      <alignment vertical="center"/>
      <protection hidden="1"/>
    </xf>
    <xf numFmtId="0" fontId="6" fillId="0" borderId="275" xfId="0" applyFont="1" applyBorder="1" applyAlignment="1">
      <alignment horizontal="center" vertical="center"/>
    </xf>
    <xf numFmtId="1" fontId="274" fillId="0" borderId="0" xfId="0" applyNumberFormat="1" applyFont="1" applyAlignment="1" applyProtection="1">
      <alignment horizontal="center" vertical="center"/>
      <protection hidden="1"/>
    </xf>
    <xf numFmtId="0" fontId="83" fillId="0" borderId="0" xfId="0" applyNumberFormat="1" applyFont="1" applyAlignment="1">
      <alignment horizontal="center"/>
    </xf>
    <xf numFmtId="0" fontId="106" fillId="0" borderId="0" xfId="0" quotePrefix="1" applyFont="1" applyAlignment="1" applyProtection="1">
      <alignment horizontal="center"/>
      <protection hidden="1"/>
    </xf>
    <xf numFmtId="0" fontId="11" fillId="0" borderId="0" xfId="0" applyFont="1" applyBorder="1" applyProtection="1">
      <protection hidden="1"/>
    </xf>
    <xf numFmtId="1" fontId="11" fillId="0" borderId="0" xfId="0" applyNumberFormat="1" applyFont="1" applyBorder="1" applyProtection="1">
      <protection hidden="1"/>
    </xf>
    <xf numFmtId="0" fontId="11" fillId="7" borderId="0" xfId="0" applyFont="1" applyFill="1" applyBorder="1" applyProtection="1">
      <protection hidden="1"/>
    </xf>
    <xf numFmtId="0" fontId="271" fillId="0" borderId="0" xfId="0" applyFont="1" applyBorder="1"/>
    <xf numFmtId="9" fontId="273" fillId="0" borderId="0" xfId="3" applyFont="1" applyBorder="1" applyAlignment="1">
      <alignment horizontal="center" vertical="center"/>
    </xf>
    <xf numFmtId="0" fontId="11" fillId="0" borderId="0" xfId="0" applyFont="1" applyBorder="1"/>
    <xf numFmtId="2" fontId="11" fillId="0" borderId="20" xfId="0" applyNumberFormat="1" applyFont="1" applyBorder="1" applyAlignment="1">
      <alignment vertical="center"/>
    </xf>
    <xf numFmtId="2" fontId="101" fillId="0" borderId="114" xfId="0" applyNumberFormat="1" applyFont="1" applyBorder="1" applyAlignment="1" applyProtection="1">
      <alignment horizontal="center" vertical="center"/>
      <protection hidden="1"/>
    </xf>
    <xf numFmtId="0" fontId="101" fillId="0" borderId="20" xfId="0" applyFont="1" applyBorder="1" applyAlignment="1" applyProtection="1">
      <alignment horizontal="center" vertical="center"/>
      <protection hidden="1"/>
    </xf>
    <xf numFmtId="0" fontId="101" fillId="0" borderId="115" xfId="0" applyFont="1" applyBorder="1" applyAlignment="1" applyProtection="1">
      <alignment horizontal="center" vertical="center"/>
      <protection hidden="1"/>
    </xf>
    <xf numFmtId="0" fontId="167" fillId="0" borderId="7" xfId="0" applyFont="1" applyBorder="1" applyAlignment="1">
      <alignment horizontal="center" vertical="center" wrapText="1"/>
    </xf>
    <xf numFmtId="0" fontId="167" fillId="0" borderId="9" xfId="0" applyFont="1" applyBorder="1" applyAlignment="1">
      <alignment horizontal="center" vertical="center" wrapText="1"/>
    </xf>
    <xf numFmtId="0" fontId="167" fillId="0" borderId="8" xfId="0" applyFont="1" applyBorder="1" applyAlignment="1">
      <alignment horizontal="center" vertical="center" wrapText="1"/>
    </xf>
    <xf numFmtId="0" fontId="83" fillId="0" borderId="155" xfId="0" applyFont="1" applyBorder="1" applyAlignment="1">
      <alignment horizontal="center" vertical="center"/>
    </xf>
    <xf numFmtId="0" fontId="83" fillId="31" borderId="156" xfId="0" applyFont="1" applyFill="1" applyBorder="1" applyAlignment="1">
      <alignment horizontal="center" vertical="center"/>
    </xf>
    <xf numFmtId="0" fontId="83" fillId="0" borderId="156" xfId="0" applyFont="1" applyBorder="1" applyAlignment="1">
      <alignment horizontal="center" vertical="center"/>
    </xf>
    <xf numFmtId="0" fontId="83" fillId="0" borderId="157" xfId="0" applyFont="1" applyBorder="1" applyAlignment="1">
      <alignment horizontal="center" vertical="center"/>
    </xf>
    <xf numFmtId="1" fontId="83" fillId="0" borderId="156" xfId="0" applyNumberFormat="1" applyFont="1" applyBorder="1" applyAlignment="1">
      <alignment horizontal="center" vertical="center"/>
    </xf>
    <xf numFmtId="0" fontId="83" fillId="0" borderId="158" xfId="0" applyFont="1" applyBorder="1" applyAlignment="1">
      <alignment horizontal="center" vertical="center"/>
    </xf>
    <xf numFmtId="0" fontId="273" fillId="0" borderId="0" xfId="0" applyFont="1" applyBorder="1" applyAlignment="1">
      <alignment horizontal="center" vertical="center"/>
    </xf>
    <xf numFmtId="0" fontId="97" fillId="0" borderId="8" xfId="0" applyFont="1" applyBorder="1" applyAlignment="1">
      <alignment horizontal="center" vertical="center"/>
    </xf>
    <xf numFmtId="0" fontId="6" fillId="0" borderId="0" xfId="0" quotePrefix="1" applyNumberFormat="1" applyFont="1" applyAlignment="1" applyProtection="1">
      <alignment horizontal="center" vertical="center"/>
      <protection hidden="1"/>
    </xf>
    <xf numFmtId="0" fontId="15" fillId="0" borderId="0" xfId="0" quotePrefix="1" applyFont="1" applyAlignment="1" applyProtection="1">
      <alignment vertical="center"/>
      <protection hidden="1"/>
    </xf>
    <xf numFmtId="0" fontId="13" fillId="24" borderId="131" xfId="0" applyFont="1" applyFill="1" applyBorder="1" applyAlignment="1" applyProtection="1">
      <alignment vertical="center"/>
      <protection hidden="1"/>
    </xf>
    <xf numFmtId="0" fontId="11" fillId="24" borderId="19" xfId="0" applyFont="1" applyFill="1" applyBorder="1" applyAlignment="1">
      <alignment vertical="center"/>
    </xf>
    <xf numFmtId="0" fontId="11" fillId="24" borderId="24" xfId="0" applyFont="1" applyFill="1" applyBorder="1" applyAlignment="1">
      <alignment vertical="center"/>
    </xf>
    <xf numFmtId="0" fontId="13" fillId="23" borderId="51" xfId="0" applyFont="1" applyFill="1" applyBorder="1" applyAlignment="1" applyProtection="1">
      <alignment vertical="center"/>
      <protection hidden="1"/>
    </xf>
    <xf numFmtId="0" fontId="11" fillId="23" borderId="116" xfId="0" applyFont="1" applyFill="1" applyBorder="1" applyAlignment="1">
      <alignment vertical="center"/>
    </xf>
    <xf numFmtId="0" fontId="11" fillId="23" borderId="161" xfId="0" applyFont="1" applyFill="1" applyBorder="1" applyAlignment="1">
      <alignment vertical="center"/>
    </xf>
    <xf numFmtId="0" fontId="143" fillId="46" borderId="0" xfId="0" applyFont="1" applyFill="1"/>
    <xf numFmtId="0" fontId="13" fillId="46" borderId="51" xfId="0" applyFont="1" applyFill="1" applyBorder="1" applyAlignment="1" applyProtection="1">
      <alignment horizontal="left" vertical="center"/>
      <protection hidden="1"/>
    </xf>
    <xf numFmtId="0" fontId="11" fillId="46" borderId="116" xfId="0" applyFont="1" applyFill="1" applyBorder="1" applyAlignment="1">
      <alignment horizontal="left" vertical="center"/>
    </xf>
    <xf numFmtId="0" fontId="11" fillId="46" borderId="116" xfId="0" applyFont="1" applyFill="1" applyBorder="1" applyAlignment="1">
      <alignment vertical="center"/>
    </xf>
    <xf numFmtId="0" fontId="11" fillId="46" borderId="161" xfId="0" applyFont="1" applyFill="1" applyBorder="1" applyAlignment="1">
      <alignment vertical="center"/>
    </xf>
    <xf numFmtId="0" fontId="11" fillId="0" borderId="31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7" borderId="114" xfId="0" applyFont="1" applyFill="1" applyBorder="1" applyAlignment="1">
      <alignment horizontal="center" vertical="center"/>
    </xf>
    <xf numFmtId="0" fontId="11" fillId="7" borderId="31" xfId="0" applyFont="1" applyFill="1" applyBorder="1" applyAlignment="1">
      <alignment horizontal="center" vertical="center"/>
    </xf>
    <xf numFmtId="0" fontId="11" fillId="7" borderId="11" xfId="0" applyFont="1" applyFill="1" applyBorder="1" applyAlignment="1">
      <alignment horizontal="center" vertical="center"/>
    </xf>
    <xf numFmtId="165" fontId="6" fillId="0" borderId="0" xfId="0" quotePrefix="1" applyNumberFormat="1" applyFont="1" applyAlignment="1" applyProtection="1">
      <alignment horizontal="center" vertical="center"/>
      <protection hidden="1"/>
    </xf>
    <xf numFmtId="0" fontId="13" fillId="40" borderId="51" xfId="0" applyFont="1" applyFill="1" applyBorder="1" applyAlignment="1" applyProtection="1">
      <alignment vertical="center"/>
      <protection hidden="1"/>
    </xf>
    <xf numFmtId="0" fontId="11" fillId="40" borderId="116" xfId="0" applyFont="1" applyFill="1" applyBorder="1" applyAlignment="1">
      <alignment vertical="center"/>
    </xf>
    <xf numFmtId="0" fontId="11" fillId="40" borderId="116" xfId="0" applyFont="1" applyFill="1" applyBorder="1" applyAlignment="1" applyProtection="1">
      <alignment vertical="center"/>
      <protection hidden="1"/>
    </xf>
    <xf numFmtId="0" fontId="11" fillId="40" borderId="161" xfId="0" applyFont="1" applyFill="1" applyBorder="1" applyAlignment="1" applyProtection="1">
      <alignment vertical="center"/>
      <protection hidden="1"/>
    </xf>
    <xf numFmtId="0" fontId="254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168" fontId="17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6" fillId="0" borderId="0" xfId="0" applyFont="1" applyBorder="1"/>
    <xf numFmtId="0" fontId="254" fillId="0" borderId="0" xfId="0" applyFont="1" applyBorder="1" applyProtection="1">
      <protection hidden="1"/>
    </xf>
    <xf numFmtId="0" fontId="6" fillId="0" borderId="0" xfId="0" applyFont="1" applyBorder="1" applyAlignment="1" applyProtection="1">
      <alignment vertical="top"/>
      <protection hidden="1"/>
    </xf>
    <xf numFmtId="0" fontId="6" fillId="0" borderId="0" xfId="0" applyFont="1" applyBorder="1" applyProtection="1">
      <protection hidden="1"/>
    </xf>
    <xf numFmtId="0" fontId="28" fillId="7" borderId="0" xfId="0" applyFont="1" applyFill="1" applyBorder="1" applyProtection="1">
      <protection hidden="1"/>
    </xf>
    <xf numFmtId="0" fontId="11" fillId="0" borderId="279" xfId="0" applyFont="1" applyBorder="1"/>
    <xf numFmtId="0" fontId="2" fillId="0" borderId="279" xfId="0" applyFont="1" applyBorder="1" applyAlignment="1" applyProtection="1">
      <alignment vertical="top" wrapText="1"/>
      <protection hidden="1"/>
    </xf>
    <xf numFmtId="0" fontId="18" fillId="11" borderId="279" xfId="0" applyFont="1" applyFill="1" applyBorder="1" applyAlignment="1" applyProtection="1">
      <alignment horizontal="left" vertical="top"/>
      <protection hidden="1"/>
    </xf>
    <xf numFmtId="0" fontId="6" fillId="0" borderId="279" xfId="0" applyFont="1" applyBorder="1" applyProtection="1">
      <protection hidden="1"/>
    </xf>
    <xf numFmtId="0" fontId="11" fillId="0" borderId="279" xfId="0" applyFont="1" applyBorder="1" applyProtection="1">
      <protection hidden="1"/>
    </xf>
    <xf numFmtId="0" fontId="28" fillId="7" borderId="279" xfId="0" applyFont="1" applyFill="1" applyBorder="1" applyProtection="1">
      <protection hidden="1"/>
    </xf>
    <xf numFmtId="0" fontId="15" fillId="0" borderId="280" xfId="0" applyFont="1" applyBorder="1" applyAlignment="1" applyProtection="1">
      <alignment vertical="center"/>
      <protection locked="0" hidden="1"/>
    </xf>
    <xf numFmtId="0" fontId="15" fillId="0" borderId="280" xfId="0" applyFont="1" applyBorder="1" applyAlignment="1" applyProtection="1">
      <alignment horizontal="center" vertical="center"/>
      <protection hidden="1"/>
    </xf>
    <xf numFmtId="0" fontId="12" fillId="0" borderId="280" xfId="0" applyFont="1" applyBorder="1" applyAlignment="1" applyProtection="1">
      <alignment vertical="center"/>
      <protection hidden="1"/>
    </xf>
    <xf numFmtId="0" fontId="15" fillId="0" borderId="280" xfId="0" applyFont="1" applyBorder="1" applyAlignment="1" applyProtection="1">
      <alignment vertical="center"/>
      <protection hidden="1"/>
    </xf>
    <xf numFmtId="0" fontId="6" fillId="0" borderId="280" xfId="0" applyFont="1" applyBorder="1" applyAlignment="1" applyProtection="1">
      <alignment vertical="center"/>
      <protection hidden="1"/>
    </xf>
    <xf numFmtId="1" fontId="15" fillId="0" borderId="280" xfId="0" applyNumberFormat="1" applyFont="1" applyBorder="1" applyAlignment="1" applyProtection="1">
      <alignment horizontal="right"/>
      <protection hidden="1"/>
    </xf>
    <xf numFmtId="1" fontId="9" fillId="0" borderId="280" xfId="0" applyNumberFormat="1" applyFont="1" applyBorder="1" applyProtection="1">
      <protection hidden="1"/>
    </xf>
    <xf numFmtId="1" fontId="8" fillId="0" borderId="280" xfId="0" applyNumberFormat="1" applyFont="1" applyBorder="1" applyProtection="1">
      <protection hidden="1"/>
    </xf>
    <xf numFmtId="1" fontId="6" fillId="0" borderId="280" xfId="0" applyNumberFormat="1" applyFont="1" applyBorder="1" applyProtection="1">
      <protection hidden="1"/>
    </xf>
    <xf numFmtId="0" fontId="6" fillId="0" borderId="280" xfId="0" applyFont="1" applyBorder="1" applyAlignment="1">
      <alignment vertical="center"/>
    </xf>
    <xf numFmtId="49" fontId="27" fillId="0" borderId="280" xfId="0" applyNumberFormat="1" applyFont="1" applyBorder="1" applyAlignment="1" applyProtection="1">
      <alignment vertical="center"/>
      <protection hidden="1"/>
    </xf>
    <xf numFmtId="49" fontId="28" fillId="0" borderId="280" xfId="0" applyNumberFormat="1" applyFont="1" applyBorder="1" applyAlignment="1" applyProtection="1">
      <alignment vertical="center"/>
      <protection hidden="1"/>
    </xf>
    <xf numFmtId="49" fontId="6" fillId="0" borderId="280" xfId="0" applyNumberFormat="1" applyFont="1" applyBorder="1" applyAlignment="1" applyProtection="1">
      <alignment vertical="center"/>
      <protection hidden="1"/>
    </xf>
    <xf numFmtId="49" fontId="15" fillId="0" borderId="280" xfId="0" applyNumberFormat="1" applyFont="1" applyBorder="1" applyAlignment="1" applyProtection="1">
      <alignment vertical="center"/>
      <protection hidden="1"/>
    </xf>
    <xf numFmtId="0" fontId="28" fillId="7" borderId="280" xfId="0" applyFont="1" applyFill="1" applyBorder="1" applyAlignment="1" applyProtection="1">
      <alignment vertical="center"/>
      <protection hidden="1"/>
    </xf>
    <xf numFmtId="0" fontId="15" fillId="0" borderId="0" xfId="0" applyFont="1" applyBorder="1" applyAlignment="1" applyProtection="1">
      <alignment vertical="center"/>
      <protection locked="0" hidden="1"/>
    </xf>
    <xf numFmtId="0" fontId="15" fillId="0" borderId="0" xfId="0" applyFont="1" applyBorder="1" applyAlignment="1" applyProtection="1">
      <alignment horizontal="center" vertical="center"/>
      <protection hidden="1"/>
    </xf>
    <xf numFmtId="0" fontId="12" fillId="0" borderId="0" xfId="0" applyFont="1" applyBorder="1" applyAlignment="1" applyProtection="1">
      <alignment vertical="center"/>
      <protection hidden="1"/>
    </xf>
    <xf numFmtId="0" fontId="15" fillId="0" borderId="0" xfId="0" applyFont="1" applyBorder="1" applyAlignment="1" applyProtection="1">
      <alignment vertical="center"/>
      <protection hidden="1"/>
    </xf>
    <xf numFmtId="1" fontId="15" fillId="0" borderId="0" xfId="0" applyNumberFormat="1" applyFont="1" applyBorder="1" applyAlignment="1" applyProtection="1">
      <alignment horizontal="right"/>
      <protection hidden="1"/>
    </xf>
    <xf numFmtId="1" fontId="9" fillId="0" borderId="0" xfId="0" applyNumberFormat="1" applyFont="1" applyBorder="1" applyProtection="1">
      <protection hidden="1"/>
    </xf>
    <xf numFmtId="1" fontId="8" fillId="0" borderId="0" xfId="0" applyNumberFormat="1" applyFont="1" applyBorder="1" applyProtection="1">
      <protection hidden="1"/>
    </xf>
    <xf numFmtId="1" fontId="6" fillId="0" borderId="0" xfId="0" applyNumberFormat="1" applyFont="1" applyBorder="1" applyProtection="1">
      <protection hidden="1"/>
    </xf>
    <xf numFmtId="49" fontId="27" fillId="0" borderId="0" xfId="0" applyNumberFormat="1" applyFont="1" applyBorder="1" applyAlignment="1" applyProtection="1">
      <alignment vertical="center"/>
      <protection hidden="1"/>
    </xf>
    <xf numFmtId="49" fontId="28" fillId="0" borderId="0" xfId="0" applyNumberFormat="1" applyFont="1" applyBorder="1" applyAlignment="1" applyProtection="1">
      <alignment vertical="center"/>
      <protection hidden="1"/>
    </xf>
    <xf numFmtId="49" fontId="15" fillId="0" borderId="0" xfId="0" applyNumberFormat="1" applyFont="1" applyBorder="1" applyAlignment="1" applyProtection="1">
      <alignment vertical="center"/>
      <protection hidden="1"/>
    </xf>
    <xf numFmtId="0" fontId="28" fillId="7" borderId="0" xfId="0" applyFont="1" applyFill="1" applyBorder="1" applyAlignment="1" applyProtection="1">
      <alignment vertical="center"/>
      <protection hidden="1"/>
    </xf>
    <xf numFmtId="0" fontId="29" fillId="0" borderId="0" xfId="0" applyFont="1" applyBorder="1" applyAlignment="1" applyProtection="1">
      <alignment horizontal="left" vertical="top" wrapText="1"/>
      <protection hidden="1"/>
    </xf>
    <xf numFmtId="0" fontId="2" fillId="0" borderId="0" xfId="0" applyFont="1" applyBorder="1" applyAlignment="1" applyProtection="1">
      <alignment vertical="top" wrapText="1"/>
      <protection hidden="1"/>
    </xf>
    <xf numFmtId="0" fontId="275" fillId="0" borderId="0" xfId="0" applyFont="1" applyBorder="1" applyAlignment="1">
      <alignment horizontal="left" vertical="top" wrapText="1"/>
    </xf>
    <xf numFmtId="0" fontId="18" fillId="11" borderId="0" xfId="0" applyFont="1" applyFill="1" applyBorder="1" applyAlignment="1" applyProtection="1">
      <alignment horizontal="left" vertical="top"/>
      <protection hidden="1"/>
    </xf>
    <xf numFmtId="0" fontId="159" fillId="24" borderId="2" xfId="0" applyFont="1" applyFill="1" applyBorder="1"/>
    <xf numFmtId="0" fontId="159" fillId="0" borderId="2" xfId="0" applyFont="1" applyBorder="1"/>
    <xf numFmtId="0" fontId="395" fillId="0" borderId="11" xfId="0" applyFont="1" applyBorder="1" applyAlignment="1">
      <alignment vertical="center"/>
    </xf>
    <xf numFmtId="49" fontId="301" fillId="0" borderId="0" xfId="0" applyNumberFormat="1" applyFont="1" applyAlignment="1" applyProtection="1">
      <alignment vertical="center"/>
      <protection hidden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268" xfId="0" applyFont="1" applyBorder="1" applyAlignment="1">
      <alignment horizontal="center" vertical="center"/>
    </xf>
    <xf numFmtId="0" fontId="6" fillId="0" borderId="267" xfId="0" applyFont="1" applyBorder="1" applyAlignment="1">
      <alignment horizontal="center" vertical="center"/>
    </xf>
    <xf numFmtId="0" fontId="6" fillId="0" borderId="271" xfId="0" applyFont="1" applyBorder="1" applyAlignment="1">
      <alignment horizontal="center" vertical="center"/>
    </xf>
    <xf numFmtId="0" fontId="6" fillId="0" borderId="267" xfId="0" applyFont="1" applyBorder="1" applyAlignment="1">
      <alignment vertical="center"/>
    </xf>
    <xf numFmtId="0" fontId="167" fillId="0" borderId="0" xfId="0" applyFont="1" applyBorder="1" applyAlignment="1">
      <alignment horizontal="right" vertical="center"/>
    </xf>
    <xf numFmtId="0" fontId="10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18" fillId="0" borderId="0" xfId="0" applyFont="1" applyBorder="1" applyAlignment="1">
      <alignment vertical="center"/>
    </xf>
    <xf numFmtId="0" fontId="6" fillId="0" borderId="275" xfId="0" applyFont="1" applyBorder="1" applyAlignment="1">
      <alignment horizontal="right" vertical="center"/>
    </xf>
    <xf numFmtId="0" fontId="83" fillId="0" borderId="272" xfId="0" applyFont="1" applyBorder="1" applyAlignment="1">
      <alignment vertical="center"/>
    </xf>
    <xf numFmtId="0" fontId="12" fillId="0" borderId="0" xfId="0" applyFont="1" applyBorder="1" applyAlignment="1">
      <alignment horizontal="right" vertical="center"/>
    </xf>
    <xf numFmtId="0" fontId="83" fillId="0" borderId="0" xfId="0" applyFont="1" applyBorder="1" applyAlignment="1" applyProtection="1">
      <alignment vertical="center"/>
      <protection locked="0"/>
    </xf>
    <xf numFmtId="0" fontId="6" fillId="0" borderId="274" xfId="0" applyFont="1" applyBorder="1" applyAlignment="1" applyProtection="1">
      <alignment vertical="center"/>
      <protection hidden="1"/>
    </xf>
    <xf numFmtId="0" fontId="18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/>
    </xf>
    <xf numFmtId="0" fontId="10" fillId="0" borderId="272" xfId="0" applyFont="1" applyBorder="1" applyAlignment="1">
      <alignment vertical="top"/>
    </xf>
    <xf numFmtId="0" fontId="83" fillId="0" borderId="0" xfId="0" applyFont="1" applyBorder="1" applyAlignment="1" applyProtection="1">
      <alignment horizontal="right" vertical="top"/>
      <protection locked="0"/>
    </xf>
    <xf numFmtId="0" fontId="3" fillId="0" borderId="0" xfId="0" applyFont="1" applyBorder="1" applyAlignment="1">
      <alignment vertical="center"/>
    </xf>
    <xf numFmtId="0" fontId="83" fillId="0" borderId="0" xfId="0" applyFont="1" applyBorder="1" applyAlignment="1">
      <alignment horizontal="right" vertical="center"/>
    </xf>
    <xf numFmtId="0" fontId="22" fillId="0" borderId="0" xfId="0" applyFont="1" applyBorder="1" applyAlignment="1" applyProtection="1">
      <alignment horizontal="left" vertical="center"/>
      <protection hidden="1"/>
    </xf>
    <xf numFmtId="0" fontId="10" fillId="0" borderId="0" xfId="0" applyFont="1" applyBorder="1" applyAlignment="1" applyProtection="1">
      <alignment horizontal="right" vertical="top"/>
      <protection hidden="1"/>
    </xf>
    <xf numFmtId="0" fontId="3" fillId="0" borderId="0" xfId="0" applyFont="1" applyBorder="1" applyAlignment="1" applyProtection="1">
      <alignment vertical="center"/>
      <protection hidden="1"/>
    </xf>
    <xf numFmtId="0" fontId="6" fillId="0" borderId="0" xfId="0" applyFont="1" applyBorder="1" applyAlignment="1" applyProtection="1">
      <alignment horizontal="right" vertical="center"/>
      <protection hidden="1"/>
    </xf>
    <xf numFmtId="0" fontId="106" fillId="0" borderId="0" xfId="0" applyFont="1" applyBorder="1" applyAlignment="1" applyProtection="1">
      <alignment horizontal="left" vertical="center"/>
      <protection hidden="1"/>
    </xf>
    <xf numFmtId="0" fontId="11" fillId="0" borderId="272" xfId="0" applyFont="1" applyBorder="1"/>
    <xf numFmtId="0" fontId="12" fillId="0" borderId="272" xfId="0" applyFont="1" applyBorder="1" applyAlignment="1">
      <alignment vertical="center"/>
    </xf>
    <xf numFmtId="166" fontId="83" fillId="0" borderId="0" xfId="0" applyNumberFormat="1" applyFont="1" applyBorder="1" applyAlignment="1">
      <alignment vertical="center"/>
    </xf>
    <xf numFmtId="0" fontId="12" fillId="0" borderId="274" xfId="0" applyFont="1" applyBorder="1" applyAlignment="1">
      <alignment vertical="center"/>
    </xf>
    <xf numFmtId="0" fontId="12" fillId="0" borderId="0" xfId="0" applyFont="1" applyBorder="1" applyAlignment="1">
      <alignment horizontal="centerContinuous" vertical="center"/>
    </xf>
    <xf numFmtId="0" fontId="6" fillId="0" borderId="267" xfId="0" applyFont="1" applyBorder="1" applyAlignment="1">
      <alignment horizontal="centerContinuous" vertical="center"/>
    </xf>
    <xf numFmtId="0" fontId="65" fillId="0" borderId="272" xfId="0" applyFont="1" applyBorder="1" applyAlignment="1">
      <alignment horizontal="centerContinuous" vertical="center"/>
    </xf>
    <xf numFmtId="0" fontId="6" fillId="0" borderId="272" xfId="0" applyFont="1" applyBorder="1" applyAlignment="1">
      <alignment horizontal="center" vertical="center"/>
    </xf>
    <xf numFmtId="0" fontId="6" fillId="0" borderId="268" xfId="0" applyFont="1" applyBorder="1" applyAlignment="1">
      <alignment horizontal="right" vertical="center"/>
    </xf>
    <xf numFmtId="0" fontId="226" fillId="0" borderId="275" xfId="0" applyFont="1" applyBorder="1" applyAlignment="1">
      <alignment horizontal="centerContinuous" vertical="center"/>
    </xf>
    <xf numFmtId="0" fontId="32" fillId="0" borderId="272" xfId="0" applyFont="1" applyBorder="1" applyAlignment="1">
      <alignment horizontal="left" vertical="center"/>
    </xf>
    <xf numFmtId="1" fontId="6" fillId="0" borderId="274" xfId="0" applyNumberFormat="1" applyFont="1" applyBorder="1" applyAlignment="1" applyProtection="1">
      <alignment vertical="center" shrinkToFit="1"/>
      <protection hidden="1"/>
    </xf>
    <xf numFmtId="1" fontId="6" fillId="0" borderId="0" xfId="0" applyNumberFormat="1" applyFont="1" applyBorder="1" applyAlignment="1" applyProtection="1">
      <alignment vertical="center" shrinkToFit="1"/>
      <protection hidden="1"/>
    </xf>
    <xf numFmtId="1" fontId="6" fillId="37" borderId="274" xfId="0" applyNumberFormat="1" applyFont="1" applyFill="1" applyBorder="1" applyAlignment="1" applyProtection="1">
      <alignment vertical="center" shrinkToFit="1"/>
      <protection hidden="1"/>
    </xf>
    <xf numFmtId="1" fontId="6" fillId="37" borderId="0" xfId="0" applyNumberFormat="1" applyFont="1" applyFill="1" applyBorder="1" applyAlignment="1" applyProtection="1">
      <alignment vertical="center" shrinkToFit="1"/>
      <protection hidden="1"/>
    </xf>
    <xf numFmtId="1" fontId="6" fillId="0" borderId="0" xfId="0" applyNumberFormat="1" applyFont="1" applyBorder="1" applyAlignment="1">
      <alignment horizontal="right" vertical="center"/>
    </xf>
    <xf numFmtId="1" fontId="12" fillId="0" borderId="0" xfId="0" quotePrefix="1" applyNumberFormat="1" applyFont="1" applyBorder="1" applyAlignment="1">
      <alignment horizontal="center" vertical="center"/>
    </xf>
    <xf numFmtId="1" fontId="349" fillId="0" borderId="0" xfId="0" applyNumberFormat="1" applyFont="1" applyBorder="1" applyAlignment="1">
      <alignment horizontal="right" vertical="center"/>
    </xf>
    <xf numFmtId="1" fontId="12" fillId="0" borderId="0" xfId="0" quotePrefix="1" applyNumberFormat="1" applyFont="1" applyBorder="1" applyAlignment="1" applyProtection="1">
      <alignment horizontal="center" vertical="center"/>
      <protection locked="0"/>
    </xf>
    <xf numFmtId="1" fontId="15" fillId="0" borderId="0" xfId="0" applyNumberFormat="1" applyFont="1" applyBorder="1" applyAlignment="1" applyProtection="1">
      <alignment vertical="center" shrinkToFit="1"/>
      <protection hidden="1"/>
    </xf>
    <xf numFmtId="0" fontId="6" fillId="0" borderId="0" xfId="0" applyFont="1" applyBorder="1" applyAlignment="1" applyProtection="1">
      <alignment vertical="center" shrinkToFit="1"/>
      <protection hidden="1"/>
    </xf>
    <xf numFmtId="0" fontId="12" fillId="0" borderId="0" xfId="0" applyFont="1" applyBorder="1" applyAlignment="1" applyProtection="1">
      <alignment horizontal="right" vertical="center" shrinkToFit="1"/>
      <protection hidden="1"/>
    </xf>
    <xf numFmtId="0" fontId="6" fillId="0" borderId="272" xfId="0" applyFont="1" applyBorder="1" applyAlignment="1">
      <alignment vertical="center"/>
    </xf>
    <xf numFmtId="0" fontId="6" fillId="4" borderId="271" xfId="0" applyFont="1" applyFill="1" applyBorder="1" applyAlignment="1">
      <alignment vertical="center"/>
    </xf>
    <xf numFmtId="1" fontId="6" fillId="4" borderId="271" xfId="0" applyNumberFormat="1" applyFont="1" applyFill="1" applyBorder="1" applyAlignment="1">
      <alignment vertical="center"/>
    </xf>
    <xf numFmtId="1" fontId="12" fillId="4" borderId="271" xfId="0" applyNumberFormat="1" applyFont="1" applyFill="1" applyBorder="1" applyAlignment="1">
      <alignment vertical="center"/>
    </xf>
    <xf numFmtId="0" fontId="12" fillId="4" borderId="271" xfId="0" applyFont="1" applyFill="1" applyBorder="1" applyAlignment="1" applyProtection="1">
      <alignment horizontal="right" vertical="center"/>
      <protection hidden="1"/>
    </xf>
    <xf numFmtId="0" fontId="6" fillId="0" borderId="0" xfId="0" quotePrefix="1" applyFont="1" applyBorder="1" applyAlignment="1" applyProtection="1">
      <alignment horizontal="right" vertical="center"/>
      <protection hidden="1"/>
    </xf>
    <xf numFmtId="0" fontId="12" fillId="0" borderId="0" xfId="0" applyFont="1" applyBorder="1" applyAlignment="1" applyProtection="1">
      <alignment horizontal="right" vertical="center"/>
      <protection hidden="1"/>
    </xf>
    <xf numFmtId="167" fontId="10" fillId="0" borderId="0" xfId="3" applyNumberFormat="1" applyFont="1" applyFill="1" applyBorder="1" applyAlignment="1" applyProtection="1">
      <alignment horizontal="right" vertical="center"/>
      <protection hidden="1"/>
    </xf>
    <xf numFmtId="0" fontId="42" fillId="0" borderId="0" xfId="0" applyFont="1" applyBorder="1" applyAlignment="1" applyProtection="1">
      <alignment vertical="center"/>
      <protection hidden="1"/>
    </xf>
    <xf numFmtId="0" fontId="103" fillId="0" borderId="0" xfId="0" applyFont="1" applyBorder="1" applyAlignment="1" applyProtection="1">
      <alignment horizontal="right" vertical="center"/>
      <protection hidden="1"/>
    </xf>
    <xf numFmtId="0" fontId="10" fillId="0" borderId="0" xfId="0" applyFont="1" applyBorder="1" applyAlignment="1" applyProtection="1">
      <alignment horizontal="left" vertical="top"/>
      <protection hidden="1"/>
    </xf>
    <xf numFmtId="0" fontId="6" fillId="0" borderId="274" xfId="0" applyFont="1" applyBorder="1" applyAlignment="1">
      <alignment vertical="center"/>
    </xf>
    <xf numFmtId="0" fontId="6" fillId="0" borderId="0" xfId="0" quotePrefix="1" applyFont="1" applyBorder="1" applyAlignment="1">
      <alignment horizontal="right" vertical="center"/>
    </xf>
    <xf numFmtId="0" fontId="2" fillId="0" borderId="0" xfId="0" applyFont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centerContinuous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center" vertical="center"/>
      <protection hidden="1"/>
    </xf>
    <xf numFmtId="1" fontId="15" fillId="0" borderId="0" xfId="0" applyNumberFormat="1" applyFont="1" applyBorder="1" applyAlignment="1" applyProtection="1">
      <alignment vertical="center"/>
      <protection hidden="1"/>
    </xf>
    <xf numFmtId="0" fontId="6" fillId="0" borderId="0" xfId="0" applyFont="1" applyBorder="1" applyAlignment="1">
      <alignment horizontal="centerContinuous"/>
    </xf>
    <xf numFmtId="0" fontId="83" fillId="0" borderId="272" xfId="0" applyFont="1" applyBorder="1" applyAlignment="1" applyProtection="1">
      <alignment vertical="center"/>
      <protection hidden="1"/>
    </xf>
    <xf numFmtId="0" fontId="6" fillId="0" borderId="272" xfId="0" quotePrefix="1" applyFont="1" applyBorder="1" applyAlignment="1">
      <alignment vertical="center"/>
    </xf>
    <xf numFmtId="0" fontId="83" fillId="0" borderId="0" xfId="0" applyFont="1" applyBorder="1" applyAlignment="1" applyProtection="1">
      <alignment vertical="center"/>
      <protection hidden="1"/>
    </xf>
    <xf numFmtId="0" fontId="6" fillId="0" borderId="272" xfId="0" applyFont="1" applyBorder="1" applyAlignment="1">
      <alignment vertical="top"/>
    </xf>
    <xf numFmtId="9" fontId="6" fillId="3" borderId="274" xfId="3" applyFont="1" applyFill="1" applyBorder="1" applyAlignment="1" applyProtection="1">
      <alignment horizontal="center" vertical="center" shrinkToFit="1"/>
      <protection locked="0"/>
    </xf>
    <xf numFmtId="1" fontId="6" fillId="0" borderId="272" xfId="0" applyNumberFormat="1" applyFont="1" applyBorder="1" applyAlignment="1">
      <alignment vertical="center"/>
    </xf>
    <xf numFmtId="1" fontId="57" fillId="0" borderId="0" xfId="0" applyNumberFormat="1" applyFont="1" applyBorder="1" applyAlignment="1" applyProtection="1">
      <alignment vertical="center" shrinkToFit="1"/>
      <protection hidden="1"/>
    </xf>
    <xf numFmtId="0" fontId="6" fillId="0" borderId="268" xfId="0" applyFont="1" applyBorder="1" applyAlignment="1">
      <alignment vertical="center"/>
    </xf>
    <xf numFmtId="0" fontId="6" fillId="0" borderId="275" xfId="0" applyFont="1" applyBorder="1" applyAlignment="1">
      <alignment vertical="center"/>
    </xf>
    <xf numFmtId="167" fontId="6" fillId="3" borderId="274" xfId="3" quotePrefix="1" applyNumberFormat="1" applyFont="1" applyFill="1" applyBorder="1" applyAlignment="1" applyProtection="1">
      <alignment horizontal="center" vertical="center"/>
      <protection locked="0"/>
    </xf>
    <xf numFmtId="167" fontId="6" fillId="3" borderId="274" xfId="3" applyNumberFormat="1" applyFont="1" applyFill="1" applyBorder="1" applyAlignment="1" applyProtection="1">
      <alignment horizontal="center" vertical="center"/>
      <protection locked="0"/>
    </xf>
    <xf numFmtId="9" fontId="6" fillId="3" borderId="268" xfId="3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1" fontId="12" fillId="0" borderId="0" xfId="0" applyNumberFormat="1" applyFont="1" applyBorder="1" applyAlignment="1">
      <alignment vertical="center"/>
    </xf>
    <xf numFmtId="167" fontId="12" fillId="0" borderId="0" xfId="0" applyNumberFormat="1" applyFont="1" applyBorder="1" applyAlignment="1">
      <alignment horizontal="centerContinuous" vertical="center"/>
    </xf>
    <xf numFmtId="0" fontId="2" fillId="0" borderId="0" xfId="0" applyFont="1" applyBorder="1" applyAlignment="1">
      <alignment vertical="center"/>
    </xf>
    <xf numFmtId="0" fontId="218" fillId="0" borderId="0" xfId="0" applyFont="1" applyBorder="1" applyAlignment="1">
      <alignment horizontal="right" vertical="center"/>
    </xf>
    <xf numFmtId="1" fontId="67" fillId="0" borderId="0" xfId="0" applyNumberFormat="1" applyFont="1" applyBorder="1" applyAlignment="1">
      <alignment vertical="center"/>
    </xf>
    <xf numFmtId="0" fontId="6" fillId="0" borderId="0" xfId="0" applyFont="1" applyBorder="1"/>
    <xf numFmtId="1" fontId="6" fillId="0" borderId="0" xfId="0" applyNumberFormat="1" applyFont="1" applyBorder="1" applyAlignment="1" applyProtection="1">
      <alignment horizontal="right"/>
      <protection hidden="1"/>
    </xf>
    <xf numFmtId="1" fontId="6" fillId="3" borderId="0" xfId="0" applyNumberFormat="1" applyFont="1" applyFill="1" applyBorder="1" applyProtection="1">
      <protection locked="0"/>
    </xf>
    <xf numFmtId="0" fontId="11" fillId="0" borderId="274" xfId="0" applyFont="1" applyBorder="1"/>
    <xf numFmtId="0" fontId="6" fillId="0" borderId="0" xfId="0" applyFont="1" applyBorder="1" applyAlignment="1">
      <alignment horizontal="center" vertical="center"/>
    </xf>
    <xf numFmtId="0" fontId="6" fillId="0" borderId="274" xfId="0" applyFont="1" applyBorder="1" applyAlignment="1">
      <alignment horizontal="center" vertical="center"/>
    </xf>
    <xf numFmtId="1" fontId="6" fillId="0" borderId="272" xfId="0" applyNumberFormat="1" applyFont="1" applyBorder="1" applyAlignment="1" applyProtection="1">
      <alignment vertical="center" shrinkToFit="1"/>
      <protection hidden="1"/>
    </xf>
    <xf numFmtId="178" fontId="83" fillId="0" borderId="0" xfId="0" applyNumberFormat="1" applyFont="1" applyBorder="1" applyAlignment="1">
      <alignment horizontal="center" vertical="center"/>
    </xf>
    <xf numFmtId="178" fontId="83" fillId="0" borderId="274" xfId="0" applyNumberFormat="1" applyFont="1" applyBorder="1" applyAlignment="1">
      <alignment horizontal="center" vertical="center"/>
    </xf>
    <xf numFmtId="0" fontId="6" fillId="0" borderId="274" xfId="0" applyFont="1" applyBorder="1"/>
    <xf numFmtId="0" fontId="11" fillId="0" borderId="267" xfId="0" applyFont="1" applyBorder="1" applyAlignment="1">
      <alignment vertical="center"/>
    </xf>
    <xf numFmtId="0" fontId="395" fillId="0" borderId="272" xfId="0" applyFont="1" applyBorder="1" applyAlignment="1">
      <alignment vertical="center"/>
    </xf>
    <xf numFmtId="1" fontId="249" fillId="0" borderId="0" xfId="0" applyNumberFormat="1" applyFont="1" applyBorder="1" applyAlignment="1">
      <alignment vertical="center"/>
    </xf>
    <xf numFmtId="0" fontId="135" fillId="0" borderId="272" xfId="0" applyFont="1" applyBorder="1" applyAlignment="1">
      <alignment vertical="center"/>
    </xf>
    <xf numFmtId="1" fontId="6" fillId="0" borderId="267" xfId="0" applyNumberFormat="1" applyFont="1" applyBorder="1" applyAlignment="1" applyProtection="1">
      <alignment vertical="center" shrinkToFit="1"/>
      <protection hidden="1"/>
    </xf>
    <xf numFmtId="1" fontId="178" fillId="0" borderId="0" xfId="0" applyNumberFormat="1" applyFont="1" applyBorder="1" applyAlignment="1">
      <alignment vertical="center"/>
    </xf>
    <xf numFmtId="1" fontId="6" fillId="0" borderId="268" xfId="0" applyNumberFormat="1" applyFont="1" applyBorder="1" applyAlignment="1" applyProtection="1">
      <alignment vertical="center" shrinkToFit="1"/>
      <protection hidden="1"/>
    </xf>
    <xf numFmtId="1" fontId="6" fillId="0" borderId="275" xfId="0" applyNumberFormat="1" applyFont="1" applyBorder="1" applyAlignment="1" applyProtection="1">
      <alignment vertical="center" shrinkToFit="1"/>
      <protection hidden="1"/>
    </xf>
    <xf numFmtId="165" fontId="6" fillId="0" borderId="267" xfId="0" applyNumberFormat="1" applyFont="1" applyBorder="1" applyAlignment="1">
      <alignment horizontal="right" vertical="center"/>
    </xf>
    <xf numFmtId="165" fontId="6" fillId="0" borderId="268" xfId="0" applyNumberFormat="1" applyFont="1" applyBorder="1" applyAlignment="1">
      <alignment horizontal="right" vertical="center"/>
    </xf>
    <xf numFmtId="1" fontId="6" fillId="0" borderId="275" xfId="0" applyNumberFormat="1" applyFont="1" applyBorder="1" applyAlignment="1">
      <alignment horizontal="right" vertical="center"/>
    </xf>
    <xf numFmtId="2" fontId="6" fillId="0" borderId="268" xfId="0" applyNumberFormat="1" applyFont="1" applyBorder="1" applyAlignment="1">
      <alignment horizontal="center" vertical="center"/>
    </xf>
    <xf numFmtId="1" fontId="248" fillId="0" borderId="0" xfId="0" applyNumberFormat="1" applyFont="1" applyBorder="1" applyAlignment="1">
      <alignment vertical="center"/>
    </xf>
    <xf numFmtId="0" fontId="15" fillId="0" borderId="271" xfId="0" applyFont="1" applyBorder="1" applyAlignment="1">
      <alignment vertical="center"/>
    </xf>
    <xf numFmtId="1" fontId="31" fillId="0" borderId="0" xfId="0" applyNumberFormat="1" applyFont="1" applyBorder="1" applyAlignment="1">
      <alignment horizontal="center" vertical="center"/>
    </xf>
    <xf numFmtId="0" fontId="6" fillId="0" borderId="274" xfId="0" applyFont="1" applyBorder="1" applyAlignment="1" applyProtection="1">
      <alignment vertical="center" shrinkToFit="1"/>
      <protection hidden="1"/>
    </xf>
    <xf numFmtId="0" fontId="6" fillId="8" borderId="271" xfId="0" applyFont="1" applyFill="1" applyBorder="1" applyAlignment="1">
      <alignment vertical="center"/>
    </xf>
    <xf numFmtId="0" fontId="12" fillId="8" borderId="271" xfId="0" applyFont="1" applyFill="1" applyBorder="1" applyAlignment="1">
      <alignment horizontal="right" vertical="center"/>
    </xf>
    <xf numFmtId="0" fontId="12" fillId="0" borderId="271" xfId="0" applyFont="1" applyBorder="1" applyAlignment="1">
      <alignment horizontal="left" vertical="center"/>
    </xf>
    <xf numFmtId="0" fontId="10" fillId="0" borderId="271" xfId="0" applyFont="1" applyBorder="1" applyAlignment="1">
      <alignment horizontal="right" vertical="center"/>
    </xf>
    <xf numFmtId="2" fontId="10" fillId="0" borderId="271" xfId="0" applyNumberFormat="1" applyFont="1" applyBorder="1" applyAlignment="1" applyProtection="1">
      <alignment vertical="center" shrinkToFit="1"/>
      <protection hidden="1"/>
    </xf>
    <xf numFmtId="0" fontId="32" fillId="0" borderId="0" xfId="0" applyFont="1" applyBorder="1" applyAlignment="1">
      <alignment vertical="center"/>
    </xf>
    <xf numFmtId="0" fontId="0" fillId="0" borderId="272" xfId="0" applyBorder="1"/>
    <xf numFmtId="1" fontId="67" fillId="0" borderId="271" xfId="0" applyNumberFormat="1" applyFont="1" applyBorder="1" applyAlignment="1" applyProtection="1">
      <alignment horizontal="center" vertical="center"/>
      <protection hidden="1"/>
    </xf>
    <xf numFmtId="0" fontId="67" fillId="0" borderId="271" xfId="0" applyFont="1" applyBorder="1" applyAlignment="1" applyProtection="1">
      <alignment horizontal="center" vertical="center"/>
      <protection hidden="1"/>
    </xf>
    <xf numFmtId="0" fontId="396" fillId="0" borderId="0" xfId="0" applyFont="1" applyBorder="1" applyAlignment="1">
      <alignment horizontal="right" vertical="center"/>
    </xf>
    <xf numFmtId="0" fontId="6" fillId="0" borderId="271" xfId="0" applyFont="1" applyBorder="1"/>
    <xf numFmtId="172" fontId="6" fillId="0" borderId="0" xfId="0" applyNumberFormat="1" applyFont="1" applyBorder="1" applyAlignment="1">
      <alignment vertical="center"/>
    </xf>
    <xf numFmtId="0" fontId="13" fillId="0" borderId="267" xfId="0" applyFont="1" applyBorder="1" applyAlignment="1">
      <alignment horizontal="centerContinuous" vertical="center"/>
    </xf>
    <xf numFmtId="0" fontId="12" fillId="0" borderId="267" xfId="0" applyFont="1" applyBorder="1" applyAlignment="1">
      <alignment horizontal="centerContinuous" vertical="center"/>
    </xf>
    <xf numFmtId="0" fontId="6" fillId="0" borderId="272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/>
    </xf>
    <xf numFmtId="0" fontId="6" fillId="0" borderId="274" xfId="0" applyFont="1" applyBorder="1" applyAlignment="1">
      <alignment horizontal="centerContinuous" vertical="center"/>
    </xf>
    <xf numFmtId="0" fontId="15" fillId="0" borderId="267" xfId="0" applyFont="1" applyBorder="1" applyAlignment="1">
      <alignment vertical="center"/>
    </xf>
    <xf numFmtId="168" fontId="6" fillId="0" borderId="0" xfId="0" applyNumberFormat="1" applyFont="1" applyBorder="1" applyAlignment="1" applyProtection="1">
      <alignment horizontal="right" vertical="center"/>
      <protection hidden="1"/>
    </xf>
    <xf numFmtId="1" fontId="6" fillId="0" borderId="0" xfId="0" applyNumberFormat="1" applyFont="1" applyBorder="1" applyAlignment="1" applyProtection="1">
      <alignment vertical="center"/>
      <protection locked="0"/>
    </xf>
    <xf numFmtId="1" fontId="6" fillId="0" borderId="0" xfId="0" quotePrefix="1" applyNumberFormat="1" applyFont="1" applyBorder="1" applyAlignment="1" applyProtection="1">
      <alignment vertical="center" shrinkToFit="1"/>
      <protection hidden="1"/>
    </xf>
    <xf numFmtId="168" fontId="6" fillId="0" borderId="274" xfId="0" applyNumberFormat="1" applyFont="1" applyBorder="1" applyAlignment="1" applyProtection="1">
      <alignment vertical="center" shrinkToFit="1"/>
      <protection hidden="1"/>
    </xf>
    <xf numFmtId="168" fontId="6" fillId="0" borderId="0" xfId="0" applyNumberFormat="1" applyFont="1" applyBorder="1" applyAlignment="1" applyProtection="1">
      <alignment vertical="center" shrinkToFit="1"/>
      <protection hidden="1"/>
    </xf>
    <xf numFmtId="0" fontId="5" fillId="0" borderId="272" xfId="0" applyFont="1" applyBorder="1" applyAlignment="1">
      <alignment vertical="center"/>
    </xf>
    <xf numFmtId="0" fontId="11" fillId="0" borderId="0" xfId="0" applyFont="1" applyBorder="1" applyAlignment="1">
      <alignment vertical="center" shrinkToFit="1"/>
    </xf>
    <xf numFmtId="0" fontId="11" fillId="0" borderId="0" xfId="0" applyFont="1" applyBorder="1" applyAlignment="1" applyProtection="1">
      <alignment vertical="center" shrinkToFit="1"/>
      <protection hidden="1"/>
    </xf>
    <xf numFmtId="168" fontId="6" fillId="0" borderId="272" xfId="0" applyNumberFormat="1" applyFont="1" applyBorder="1" applyAlignment="1" applyProtection="1">
      <alignment horizontal="right" vertical="center"/>
      <protection hidden="1"/>
    </xf>
    <xf numFmtId="168" fontId="6" fillId="0" borderId="271" xfId="0" applyNumberFormat="1" applyFont="1" applyBorder="1" applyAlignment="1">
      <alignment horizontal="right" vertical="center"/>
    </xf>
    <xf numFmtId="168" fontId="6" fillId="0" borderId="271" xfId="0" applyNumberFormat="1" applyFont="1" applyBorder="1" applyAlignment="1">
      <alignment horizontal="right" vertical="center" shrinkToFit="1"/>
    </xf>
    <xf numFmtId="168" fontId="6" fillId="0" borderId="271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 shrinkToFit="1"/>
    </xf>
    <xf numFmtId="0" fontId="15" fillId="0" borderId="0" xfId="0" applyFont="1" applyBorder="1" applyAlignment="1">
      <alignment horizontal="center" vertical="center"/>
    </xf>
    <xf numFmtId="1" fontId="6" fillId="0" borderId="268" xfId="0" applyNumberFormat="1" applyFont="1" applyBorder="1" applyAlignment="1" applyProtection="1">
      <alignment vertical="center"/>
      <protection hidden="1"/>
    </xf>
    <xf numFmtId="168" fontId="6" fillId="0" borderId="275" xfId="0" applyNumberFormat="1" applyFont="1" applyBorder="1" applyAlignment="1" applyProtection="1">
      <alignment vertical="center" shrinkToFit="1"/>
      <protection hidden="1"/>
    </xf>
    <xf numFmtId="0" fontId="28" fillId="0" borderId="271" xfId="0" quotePrefix="1" applyFont="1" applyBorder="1" applyAlignment="1">
      <alignment horizontal="left" vertical="center"/>
    </xf>
    <xf numFmtId="0" fontId="11" fillId="0" borderId="271" xfId="0" applyFont="1" applyBorder="1" applyAlignment="1">
      <alignment vertical="center"/>
    </xf>
    <xf numFmtId="0" fontId="6" fillId="0" borderId="271" xfId="0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6" fillId="17" borderId="271" xfId="0" applyFont="1" applyFill="1" applyBorder="1" applyAlignment="1" applyProtection="1">
      <alignment vertical="center"/>
      <protection hidden="1"/>
    </xf>
    <xf numFmtId="0" fontId="12" fillId="17" borderId="271" xfId="0" applyFont="1" applyFill="1" applyBorder="1" applyAlignment="1" applyProtection="1">
      <alignment horizontal="right" vertical="center"/>
      <protection hidden="1"/>
    </xf>
    <xf numFmtId="0" fontId="6" fillId="0" borderId="271" xfId="0" applyFont="1" applyBorder="1" applyAlignment="1" applyProtection="1">
      <alignment horizontal="right" vertical="center"/>
      <protection hidden="1"/>
    </xf>
    <xf numFmtId="1" fontId="12" fillId="0" borderId="0" xfId="0" applyNumberFormat="1" applyFont="1" applyBorder="1" applyAlignment="1" applyProtection="1">
      <alignment vertical="center"/>
      <protection hidden="1"/>
    </xf>
    <xf numFmtId="0" fontId="16" fillId="0" borderId="0" xfId="0" applyFont="1" applyBorder="1" applyAlignment="1" applyProtection="1">
      <alignment horizontal="right" vertical="center"/>
      <protection hidden="1"/>
    </xf>
    <xf numFmtId="1" fontId="11" fillId="0" borderId="0" xfId="0" applyNumberFormat="1" applyFont="1" applyBorder="1" applyAlignment="1" applyProtection="1">
      <alignment vertical="center" shrinkToFit="1"/>
      <protection hidden="1"/>
    </xf>
    <xf numFmtId="1" fontId="11" fillId="0" borderId="0" xfId="0" applyNumberFormat="1" applyFont="1" applyBorder="1" applyAlignment="1" applyProtection="1">
      <alignment vertical="center"/>
      <protection hidden="1"/>
    </xf>
    <xf numFmtId="0" fontId="12" fillId="4" borderId="271" xfId="0" applyFont="1" applyFill="1" applyBorder="1" applyAlignment="1" applyProtection="1">
      <alignment vertical="center"/>
      <protection hidden="1"/>
    </xf>
    <xf numFmtId="1" fontId="12" fillId="4" borderId="271" xfId="0" applyNumberFormat="1" applyFont="1" applyFill="1" applyBorder="1" applyAlignment="1" applyProtection="1">
      <alignment vertical="center"/>
      <protection hidden="1"/>
    </xf>
    <xf numFmtId="0" fontId="6" fillId="0" borderId="271" xfId="0" quotePrefix="1" applyFont="1" applyBorder="1" applyAlignment="1" applyProtection="1">
      <alignment horizontal="right" vertical="center"/>
      <protection hidden="1"/>
    </xf>
    <xf numFmtId="0" fontId="12" fillId="0" borderId="271" xfId="0" applyFont="1" applyBorder="1" applyAlignment="1" applyProtection="1">
      <alignment horizontal="right" vertical="center"/>
      <protection hidden="1"/>
    </xf>
    <xf numFmtId="0" fontId="12" fillId="0" borderId="271" xfId="0" applyFont="1" applyBorder="1" applyAlignment="1" applyProtection="1">
      <alignment horizontal="center" vertical="center"/>
      <protection hidden="1"/>
    </xf>
    <xf numFmtId="167" fontId="135" fillId="0" borderId="271" xfId="3" applyNumberFormat="1" applyFont="1" applyFill="1" applyBorder="1" applyAlignment="1" applyProtection="1">
      <alignment horizontal="center" vertical="center"/>
      <protection hidden="1"/>
    </xf>
    <xf numFmtId="0" fontId="135" fillId="0" borderId="271" xfId="0" applyFont="1" applyBorder="1" applyAlignment="1" applyProtection="1">
      <alignment horizontal="left" vertical="center"/>
      <protection hidden="1"/>
    </xf>
    <xf numFmtId="0" fontId="6" fillId="0" borderId="274" xfId="0" quotePrefix="1" applyFont="1" applyBorder="1" applyAlignment="1">
      <alignment horizontal="right"/>
    </xf>
    <xf numFmtId="173" fontId="6" fillId="0" borderId="271" xfId="0" applyNumberFormat="1" applyFont="1" applyBorder="1" applyAlignment="1">
      <alignment horizontal="centerContinuous"/>
    </xf>
    <xf numFmtId="0" fontId="12" fillId="0" borderId="268" xfId="0" applyFont="1" applyBorder="1" applyAlignment="1">
      <alignment vertical="center"/>
    </xf>
    <xf numFmtId="0" fontId="12" fillId="0" borderId="267" xfId="0" applyFont="1" applyBorder="1" applyAlignment="1" applyProtection="1">
      <alignment horizontal="centerContinuous" vertical="center"/>
      <protection hidden="1"/>
    </xf>
    <xf numFmtId="0" fontId="15" fillId="0" borderId="268" xfId="0" quotePrefix="1" applyFont="1" applyBorder="1" applyAlignment="1" applyProtection="1">
      <alignment horizontal="right"/>
      <protection hidden="1"/>
    </xf>
    <xf numFmtId="2" fontId="6" fillId="0" borderId="0" xfId="0" applyNumberFormat="1" applyFont="1" applyBorder="1" applyAlignment="1">
      <alignment vertical="center"/>
    </xf>
    <xf numFmtId="1" fontId="6" fillId="2" borderId="0" xfId="0" applyNumberFormat="1" applyFont="1" applyFill="1" applyBorder="1" applyAlignment="1" applyProtection="1">
      <alignment vertical="center"/>
      <protection hidden="1"/>
    </xf>
    <xf numFmtId="0" fontId="31" fillId="0" borderId="0" xfId="0" applyFont="1" applyBorder="1" applyAlignment="1" applyProtection="1">
      <alignment horizontal="right" vertical="center"/>
      <protection hidden="1"/>
    </xf>
    <xf numFmtId="0" fontId="12" fillId="0" borderId="268" xfId="0" applyFont="1" applyBorder="1" applyAlignment="1">
      <alignment horizontal="centerContinuous" vertical="center"/>
    </xf>
    <xf numFmtId="0" fontId="6" fillId="0" borderId="268" xfId="0" applyFont="1" applyBorder="1" applyAlignment="1">
      <alignment horizontal="centerContinuous" vertical="center"/>
    </xf>
    <xf numFmtId="2" fontId="6" fillId="0" borderId="268" xfId="0" applyNumberFormat="1" applyFont="1" applyBorder="1" applyAlignment="1">
      <alignment vertical="center"/>
    </xf>
    <xf numFmtId="165" fontId="6" fillId="0" borderId="268" xfId="0" applyNumberFormat="1" applyFont="1" applyBorder="1" applyAlignment="1">
      <alignment vertical="center"/>
    </xf>
    <xf numFmtId="1" fontId="6" fillId="2" borderId="268" xfId="0" applyNumberFormat="1" applyFont="1" applyFill="1" applyBorder="1" applyAlignment="1" applyProtection="1">
      <alignment vertical="center"/>
      <protection hidden="1"/>
    </xf>
    <xf numFmtId="0" fontId="6" fillId="0" borderId="0" xfId="0" applyFont="1" applyBorder="1" applyAlignment="1" applyProtection="1">
      <alignment horizontal="centerContinuous" vertical="center"/>
      <protection hidden="1"/>
    </xf>
    <xf numFmtId="0" fontId="121" fillId="0" borderId="0" xfId="0" applyFont="1" applyBorder="1" applyAlignment="1" applyProtection="1">
      <alignment vertical="center"/>
      <protection hidden="1"/>
    </xf>
    <xf numFmtId="0" fontId="12" fillId="0" borderId="271" xfId="0" applyFont="1" applyBorder="1" applyAlignment="1">
      <alignment horizontal="right" vertical="center"/>
    </xf>
    <xf numFmtId="0" fontId="83" fillId="0" borderId="271" xfId="0" applyFont="1" applyBorder="1" applyAlignment="1" applyProtection="1">
      <alignment horizontal="left" vertical="center"/>
      <protection hidden="1"/>
    </xf>
    <xf numFmtId="167" fontId="83" fillId="0" borderId="271" xfId="0" applyNumberFormat="1" applyFont="1" applyBorder="1" applyAlignment="1">
      <alignment horizontal="left" vertical="center"/>
    </xf>
    <xf numFmtId="0" fontId="6" fillId="0" borderId="271" xfId="0" applyFont="1" applyBorder="1" applyAlignment="1" applyProtection="1">
      <alignment horizontal="centerContinuous" vertical="center"/>
      <protection hidden="1"/>
    </xf>
    <xf numFmtId="1" fontId="6" fillId="2" borderId="0" xfId="0" applyNumberFormat="1" applyFont="1" applyFill="1" applyBorder="1" applyAlignment="1" applyProtection="1">
      <alignment vertical="center" shrinkToFit="1"/>
      <protection hidden="1"/>
    </xf>
    <xf numFmtId="0" fontId="83" fillId="0" borderId="271" xfId="0" applyFont="1" applyBorder="1" applyAlignment="1" applyProtection="1">
      <alignment horizontal="center" vertical="center"/>
      <protection hidden="1"/>
    </xf>
    <xf numFmtId="1" fontId="12" fillId="0" borderId="274" xfId="0" applyNumberFormat="1" applyFont="1" applyBorder="1" applyAlignment="1" applyProtection="1">
      <alignment vertical="center" shrinkToFit="1"/>
      <protection hidden="1"/>
    </xf>
    <xf numFmtId="0" fontId="12" fillId="4" borderId="271" xfId="0" applyFont="1" applyFill="1" applyBorder="1" applyAlignment="1">
      <alignment vertical="center"/>
    </xf>
    <xf numFmtId="1" fontId="12" fillId="4" borderId="271" xfId="0" applyNumberFormat="1" applyFont="1" applyFill="1" applyBorder="1" applyAlignment="1" applyProtection="1">
      <alignment horizontal="right" vertical="center"/>
      <protection hidden="1"/>
    </xf>
    <xf numFmtId="1" fontId="12" fillId="0" borderId="0" xfId="0" applyNumberFormat="1" applyFont="1" applyBorder="1" applyAlignment="1">
      <alignment horizontal="right" vertical="center"/>
    </xf>
    <xf numFmtId="0" fontId="203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8" fillId="0" borderId="0" xfId="0" applyFont="1" applyBorder="1" applyAlignment="1">
      <alignment vertical="center"/>
    </xf>
    <xf numFmtId="167" fontId="6" fillId="0" borderId="274" xfId="3" applyNumberFormat="1" applyFont="1" applyFill="1" applyBorder="1" applyAlignment="1" applyProtection="1">
      <alignment horizontal="right" vertical="center"/>
    </xf>
    <xf numFmtId="167" fontId="6" fillId="0" borderId="272" xfId="0" applyNumberFormat="1" applyFont="1" applyBorder="1" applyAlignment="1">
      <alignment horizontal="right" vertical="center"/>
    </xf>
    <xf numFmtId="0" fontId="6" fillId="0" borderId="0" xfId="0" quotePrefix="1" applyFont="1" applyBorder="1" applyAlignment="1">
      <alignment vertical="center"/>
    </xf>
    <xf numFmtId="0" fontId="2" fillId="5" borderId="267" xfId="0" applyFont="1" applyFill="1" applyBorder="1" applyAlignment="1">
      <alignment horizontal="centerContinuous" vertical="center"/>
    </xf>
    <xf numFmtId="0" fontId="6" fillId="7" borderId="267" xfId="0" applyFont="1" applyFill="1" applyBorder="1" applyAlignment="1">
      <alignment horizontal="centerContinuous"/>
    </xf>
    <xf numFmtId="0" fontId="12" fillId="0" borderId="274" xfId="0" applyFont="1" applyBorder="1" applyAlignment="1">
      <alignment horizontal="center" vertical="center"/>
    </xf>
    <xf numFmtId="0" fontId="83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right" vertical="center"/>
    </xf>
    <xf numFmtId="0" fontId="10" fillId="0" borderId="274" xfId="0" applyFont="1" applyBorder="1" applyAlignment="1">
      <alignment horizontal="right" vertical="center"/>
    </xf>
    <xf numFmtId="0" fontId="18" fillId="0" borderId="267" xfId="0" applyFont="1" applyBorder="1" applyAlignment="1">
      <alignment vertical="center"/>
    </xf>
    <xf numFmtId="0" fontId="18" fillId="0" borderId="268" xfId="0" applyFont="1" applyBorder="1" applyAlignment="1">
      <alignment vertical="center"/>
    </xf>
    <xf numFmtId="0" fontId="18" fillId="0" borderId="271" xfId="0" applyFont="1" applyBorder="1" applyAlignment="1">
      <alignment vertical="center"/>
    </xf>
    <xf numFmtId="0" fontId="2" fillId="0" borderId="271" xfId="0" applyFont="1" applyBorder="1" applyAlignment="1">
      <alignment vertical="center"/>
    </xf>
    <xf numFmtId="1" fontId="18" fillId="0" borderId="0" xfId="0" applyNumberFormat="1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25" fillId="0" borderId="0" xfId="0" quotePrefix="1" applyFont="1" applyBorder="1" applyAlignment="1" applyProtection="1">
      <alignment horizontal="right"/>
      <protection hidden="1"/>
    </xf>
    <xf numFmtId="168" fontId="25" fillId="0" borderId="0" xfId="0" applyNumberFormat="1" applyFont="1" applyBorder="1" applyAlignment="1" applyProtection="1">
      <alignment shrinkToFit="1"/>
      <protection hidden="1"/>
    </xf>
    <xf numFmtId="0" fontId="19" fillId="0" borderId="0" xfId="0" applyFont="1" applyBorder="1" applyProtection="1">
      <protection hidden="1"/>
    </xf>
    <xf numFmtId="165" fontId="19" fillId="0" borderId="0" xfId="0" applyNumberFormat="1" applyFont="1" applyBorder="1" applyProtection="1">
      <protection hidden="1"/>
    </xf>
    <xf numFmtId="0" fontId="10" fillId="0" borderId="0" xfId="0" applyFont="1" applyBorder="1" applyAlignment="1" applyProtection="1">
      <alignment horizontal="center"/>
      <protection hidden="1"/>
    </xf>
    <xf numFmtId="0" fontId="16" fillId="0" borderId="0" xfId="0" applyFont="1" applyBorder="1" applyAlignment="1" applyProtection="1">
      <alignment vertical="center"/>
      <protection hidden="1"/>
    </xf>
    <xf numFmtId="9" fontId="277" fillId="0" borderId="0" xfId="0" applyNumberFormat="1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167" fontId="10" fillId="0" borderId="0" xfId="3" applyNumberFormat="1" applyFont="1" applyBorder="1" applyAlignment="1" applyProtection="1">
      <alignment vertical="center"/>
      <protection hidden="1"/>
    </xf>
    <xf numFmtId="2" fontId="10" fillId="0" borderId="0" xfId="0" applyNumberFormat="1" applyFont="1" applyBorder="1" applyAlignment="1" applyProtection="1">
      <alignment vertical="center"/>
      <protection hidden="1"/>
    </xf>
    <xf numFmtId="0" fontId="10" fillId="0" borderId="0" xfId="0" applyFont="1" applyBorder="1" applyAlignment="1">
      <alignment horizontal="left" vertical="center"/>
    </xf>
    <xf numFmtId="0" fontId="16" fillId="0" borderId="272" xfId="0" applyFont="1" applyBorder="1"/>
    <xf numFmtId="167" fontId="10" fillId="0" borderId="0" xfId="3" applyNumberFormat="1" applyFont="1" applyBorder="1" applyAlignment="1" applyProtection="1">
      <alignment vertical="top"/>
      <protection hidden="1"/>
    </xf>
    <xf numFmtId="0" fontId="16" fillId="0" borderId="0" xfId="0" applyFont="1" applyBorder="1" applyProtection="1">
      <protection hidden="1"/>
    </xf>
    <xf numFmtId="0" fontId="10" fillId="0" borderId="0" xfId="0" applyFont="1" applyBorder="1" applyAlignment="1" applyProtection="1">
      <alignment horizontal="right" vertical="center"/>
      <protection hidden="1"/>
    </xf>
    <xf numFmtId="0" fontId="16" fillId="0" borderId="274" xfId="0" applyFont="1" applyBorder="1"/>
    <xf numFmtId="0" fontId="135" fillId="0" borderId="1" xfId="0" quotePrefix="1" applyFont="1" applyBorder="1" applyAlignment="1">
      <alignment vertical="center"/>
    </xf>
    <xf numFmtId="0" fontId="135" fillId="0" borderId="267" xfId="0" applyFont="1" applyBorder="1" applyAlignment="1">
      <alignment vertical="center"/>
    </xf>
    <xf numFmtId="0" fontId="111" fillId="0" borderId="267" xfId="0" applyFont="1" applyBorder="1" applyAlignment="1">
      <alignment vertical="center"/>
    </xf>
    <xf numFmtId="0" fontId="332" fillId="0" borderId="267" xfId="1" applyFont="1" applyFill="1" applyBorder="1" applyAlignment="1" applyProtection="1">
      <alignment vertical="center"/>
    </xf>
    <xf numFmtId="0" fontId="373" fillId="0" borderId="267" xfId="0" applyFont="1" applyBorder="1" applyAlignment="1" applyProtection="1">
      <alignment vertical="center"/>
      <protection hidden="1"/>
    </xf>
    <xf numFmtId="0" fontId="6" fillId="0" borderId="267" xfId="0" applyFont="1" applyBorder="1" applyProtection="1">
      <protection hidden="1"/>
    </xf>
    <xf numFmtId="0" fontId="6" fillId="0" borderId="15" xfId="0" applyFont="1" applyBorder="1" applyProtection="1">
      <protection hidden="1"/>
    </xf>
    <xf numFmtId="0" fontId="66" fillId="0" borderId="0" xfId="0" applyFont="1" applyBorder="1" applyAlignment="1">
      <alignment vertical="center"/>
    </xf>
    <xf numFmtId="0" fontId="135" fillId="0" borderId="0" xfId="0" quotePrefix="1" applyFont="1" applyBorder="1" applyAlignment="1">
      <alignment horizontal="left" vertical="center"/>
    </xf>
    <xf numFmtId="0" fontId="6" fillId="0" borderId="272" xfId="0" applyFont="1" applyBorder="1" applyAlignment="1" applyProtection="1">
      <alignment vertical="center"/>
      <protection locked="0"/>
    </xf>
    <xf numFmtId="0" fontId="18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top"/>
    </xf>
    <xf numFmtId="0" fontId="18" fillId="0" borderId="0" xfId="0" applyFont="1" applyBorder="1" applyAlignment="1" applyProtection="1">
      <alignment horizontal="right" vertical="center"/>
      <protection hidden="1"/>
    </xf>
    <xf numFmtId="0" fontId="170" fillId="0" borderId="9" xfId="0" applyFont="1" applyBorder="1" applyAlignment="1">
      <alignment vertical="center" wrapText="1"/>
    </xf>
    <xf numFmtId="0" fontId="318" fillId="37" borderId="272" xfId="0" applyFont="1" applyFill="1" applyBorder="1" applyAlignment="1">
      <alignment vertical="center" wrapText="1"/>
    </xf>
    <xf numFmtId="0" fontId="6" fillId="37" borderId="274" xfId="0" applyFont="1" applyFill="1" applyBorder="1" applyAlignment="1" applyProtection="1">
      <alignment vertical="center"/>
      <protection hidden="1"/>
    </xf>
    <xf numFmtId="0" fontId="153" fillId="0" borderId="272" xfId="0" applyFont="1" applyBorder="1" applyAlignment="1">
      <alignment horizontal="left" vertical="center"/>
    </xf>
    <xf numFmtId="0" fontId="386" fillId="0" borderId="272" xfId="0" applyFont="1" applyBorder="1" applyAlignment="1">
      <alignment horizontal="left" vertical="center"/>
    </xf>
    <xf numFmtId="0" fontId="67" fillId="0" borderId="272" xfId="0" applyFont="1" applyBorder="1" applyAlignment="1" applyProtection="1">
      <alignment horizontal="left" vertical="center"/>
      <protection hidden="1"/>
    </xf>
    <xf numFmtId="0" fontId="6" fillId="37" borderId="274" xfId="0" applyFont="1" applyFill="1" applyBorder="1" applyAlignment="1">
      <alignment horizontal="center" vertical="center"/>
    </xf>
    <xf numFmtId="0" fontId="343" fillId="0" borderId="272" xfId="0" applyFont="1" applyBorder="1" applyAlignment="1">
      <alignment horizontal="left" vertical="center"/>
    </xf>
    <xf numFmtId="0" fontId="12" fillId="0" borderId="274" xfId="0" applyFont="1" applyBorder="1" applyAlignment="1">
      <alignment horizontal="left" vertical="center"/>
    </xf>
    <xf numFmtId="0" fontId="343" fillId="0" borderId="272" xfId="0" applyFont="1" applyBorder="1" applyAlignment="1" applyProtection="1">
      <alignment horizontal="left" vertical="center"/>
      <protection hidden="1"/>
    </xf>
    <xf numFmtId="0" fontId="83" fillId="0" borderId="274" xfId="0" applyFont="1" applyBorder="1" applyAlignment="1" applyProtection="1">
      <alignment vertical="center"/>
      <protection hidden="1"/>
    </xf>
    <xf numFmtId="0" fontId="6" fillId="0" borderId="274" xfId="0" applyFont="1" applyBorder="1" applyAlignment="1">
      <alignment horizontal="center"/>
    </xf>
    <xf numFmtId="168" fontId="6" fillId="0" borderId="274" xfId="0" applyNumberFormat="1" applyFont="1" applyBorder="1" applyAlignment="1">
      <alignment horizontal="center"/>
    </xf>
    <xf numFmtId="0" fontId="310" fillId="0" borderId="274" xfId="0" applyFont="1" applyBorder="1" applyAlignment="1">
      <alignment horizontal="left" vertical="center"/>
    </xf>
    <xf numFmtId="1" fontId="83" fillId="0" borderId="274" xfId="3" applyNumberFormat="1" applyFont="1" applyFill="1" applyBorder="1" applyAlignment="1" applyProtection="1">
      <alignment horizontal="left" vertical="center"/>
    </xf>
    <xf numFmtId="0" fontId="52" fillId="0" borderId="0" xfId="0" applyFont="1" applyBorder="1" applyAlignment="1">
      <alignment vertical="center"/>
    </xf>
    <xf numFmtId="0" fontId="15" fillId="0" borderId="0" xfId="0" applyFont="1" applyBorder="1" applyAlignment="1">
      <alignment horizontal="left" vertical="center"/>
    </xf>
    <xf numFmtId="0" fontId="12" fillId="0" borderId="0" xfId="0" applyFont="1" applyBorder="1"/>
    <xf numFmtId="0" fontId="24" fillId="0" borderId="0" xfId="0" applyFont="1" applyBorder="1" applyAlignment="1">
      <alignment vertical="center"/>
    </xf>
    <xf numFmtId="1" fontId="54" fillId="0" borderId="0" xfId="0" applyNumberFormat="1" applyFont="1" applyBorder="1" applyAlignment="1">
      <alignment vertical="center"/>
    </xf>
    <xf numFmtId="1" fontId="15" fillId="0" borderId="0" xfId="0" quotePrefix="1" applyNumberFormat="1" applyFont="1" applyBorder="1" applyAlignment="1">
      <alignment vertical="center"/>
    </xf>
    <xf numFmtId="0" fontId="31" fillId="0" borderId="0" xfId="0" applyFont="1" applyBorder="1" applyAlignment="1">
      <alignment horizontal="right" vertical="center"/>
    </xf>
    <xf numFmtId="1" fontId="15" fillId="0" borderId="0" xfId="0" applyNumberFormat="1" applyFont="1" applyBorder="1" applyAlignment="1">
      <alignment vertical="center"/>
    </xf>
    <xf numFmtId="0" fontId="30" fillId="0" borderId="274" xfId="0" applyFont="1" applyBorder="1" applyAlignment="1">
      <alignment horizontal="left" vertical="center"/>
    </xf>
    <xf numFmtId="0" fontId="30" fillId="0" borderId="0" xfId="0" applyFont="1" applyBorder="1" applyAlignment="1">
      <alignment horizontal="right" vertical="center"/>
    </xf>
    <xf numFmtId="0" fontId="30" fillId="0" borderId="0" xfId="0" applyFont="1" applyBorder="1" applyAlignment="1">
      <alignment vertical="center"/>
    </xf>
    <xf numFmtId="0" fontId="12" fillId="0" borderId="272" xfId="0" applyFont="1" applyBorder="1" applyAlignment="1">
      <alignment horizontal="center" vertical="center"/>
    </xf>
    <xf numFmtId="0" fontId="83" fillId="0" borderId="0" xfId="0" applyFont="1" applyBorder="1" applyAlignment="1" applyProtection="1">
      <alignment horizontal="center" vertical="center"/>
      <protection hidden="1"/>
    </xf>
    <xf numFmtId="1" fontId="170" fillId="0" borderId="274" xfId="0" applyNumberFormat="1" applyFont="1" applyBorder="1" applyAlignment="1">
      <alignment vertical="center"/>
    </xf>
    <xf numFmtId="0" fontId="310" fillId="0" borderId="272" xfId="0" applyFont="1" applyBorder="1" applyAlignment="1">
      <alignment horizontal="center" vertical="center"/>
    </xf>
    <xf numFmtId="0" fontId="83" fillId="0" borderId="272" xfId="0" applyFont="1" applyBorder="1" applyAlignment="1">
      <alignment horizontal="center" vertical="center"/>
    </xf>
    <xf numFmtId="0" fontId="83" fillId="0" borderId="274" xfId="0" applyFont="1" applyBorder="1" applyAlignment="1">
      <alignment horizontal="left" vertical="center"/>
    </xf>
    <xf numFmtId="0" fontId="247" fillId="0" borderId="0" xfId="0" applyFont="1" applyBorder="1" applyAlignment="1">
      <alignment horizontal="left" vertical="center"/>
    </xf>
    <xf numFmtId="0" fontId="6" fillId="0" borderId="0" xfId="0" applyFont="1" applyBorder="1" applyAlignment="1" applyProtection="1">
      <alignment horizontal="center" vertical="center"/>
      <protection locked="0"/>
    </xf>
    <xf numFmtId="0" fontId="240" fillId="0" borderId="274" xfId="0" applyFont="1" applyBorder="1" applyAlignment="1">
      <alignment vertical="center"/>
    </xf>
    <xf numFmtId="0" fontId="6" fillId="0" borderId="272" xfId="0" applyFont="1" applyBorder="1"/>
    <xf numFmtId="0" fontId="178" fillId="0" borderId="0" xfId="0" applyFont="1" applyBorder="1"/>
    <xf numFmtId="0" fontId="6" fillId="0" borderId="0" xfId="0" applyFont="1" applyBorder="1" applyAlignment="1" applyProtection="1">
      <alignment vertical="center"/>
      <protection locked="0"/>
    </xf>
    <xf numFmtId="0" fontId="320" fillId="0" borderId="0" xfId="0" applyFont="1" applyBorder="1" applyAlignment="1">
      <alignment horizontal="center"/>
    </xf>
    <xf numFmtId="0" fontId="6" fillId="0" borderId="268" xfId="0" applyFont="1" applyBorder="1"/>
    <xf numFmtId="0" fontId="111" fillId="0" borderId="268" xfId="0" applyFont="1" applyBorder="1"/>
    <xf numFmtId="0" fontId="6" fillId="0" borderId="275" xfId="0" applyFont="1" applyBorder="1"/>
    <xf numFmtId="0" fontId="12" fillId="0" borderId="272" xfId="0" applyFont="1" applyBorder="1" applyAlignment="1" applyProtection="1">
      <alignment vertical="center"/>
      <protection locked="0"/>
    </xf>
    <xf numFmtId="0" fontId="83" fillId="0" borderId="0" xfId="0" applyFont="1" applyBorder="1" applyAlignment="1">
      <alignment horizontal="right"/>
    </xf>
    <xf numFmtId="0" fontId="11" fillId="0" borderId="274" xfId="0" applyFont="1" applyBorder="1" applyAlignment="1">
      <alignment vertical="center"/>
    </xf>
    <xf numFmtId="0" fontId="11" fillId="0" borderId="274" xfId="0" applyFont="1" applyBorder="1" applyAlignment="1">
      <alignment horizontal="centerContinuous" vertical="center"/>
    </xf>
    <xf numFmtId="0" fontId="67" fillId="0" borderId="272" xfId="0" applyFont="1" applyBorder="1" applyAlignment="1">
      <alignment vertical="center"/>
    </xf>
    <xf numFmtId="0" fontId="153" fillId="0" borderId="9" xfId="0" applyFont="1" applyBorder="1" applyAlignment="1">
      <alignment vertical="center"/>
    </xf>
    <xf numFmtId="0" fontId="67" fillId="0" borderId="9" xfId="0" applyFont="1" applyBorder="1" applyAlignment="1" applyProtection="1">
      <alignment horizontal="left" vertical="center"/>
      <protection hidden="1"/>
    </xf>
    <xf numFmtId="0" fontId="318" fillId="31" borderId="9" xfId="0" applyFont="1" applyFill="1" applyBorder="1" applyAlignment="1" applyProtection="1">
      <alignment vertical="center"/>
      <protection hidden="1"/>
    </xf>
    <xf numFmtId="0" fontId="67" fillId="0" borderId="9" xfId="0" applyFont="1" applyBorder="1" applyAlignment="1">
      <alignment vertical="center"/>
    </xf>
    <xf numFmtId="0" fontId="67" fillId="0" borderId="9" xfId="0" applyFont="1" applyBorder="1" applyAlignment="1" applyProtection="1">
      <alignment vertical="center"/>
      <protection hidden="1"/>
    </xf>
    <xf numFmtId="0" fontId="6" fillId="0" borderId="9" xfId="0" applyFont="1" applyBorder="1" applyAlignment="1">
      <alignment vertical="center"/>
    </xf>
    <xf numFmtId="0" fontId="12" fillId="0" borderId="274" xfId="0" applyFont="1" applyBorder="1" applyAlignment="1" applyProtection="1">
      <alignment vertical="center"/>
      <protection hidden="1"/>
    </xf>
    <xf numFmtId="0" fontId="218" fillId="0" borderId="272" xfId="0" applyFont="1" applyBorder="1" applyAlignment="1">
      <alignment horizontal="center" vertical="center"/>
    </xf>
    <xf numFmtId="0" fontId="6" fillId="0" borderId="274" xfId="0" applyFont="1" applyBorder="1" applyAlignment="1" applyProtection="1">
      <alignment horizontal="center" vertical="center"/>
      <protection hidden="1"/>
    </xf>
    <xf numFmtId="0" fontId="83" fillId="0" borderId="272" xfId="0" applyFont="1" applyBorder="1" applyAlignment="1">
      <alignment horizontal="right"/>
    </xf>
    <xf numFmtId="0" fontId="6" fillId="0" borderId="0" xfId="0" quotePrefix="1" applyFont="1" applyBorder="1" applyAlignment="1">
      <alignment horizontal="right"/>
    </xf>
    <xf numFmtId="0" fontId="67" fillId="0" borderId="0" xfId="0" applyFont="1" applyBorder="1" applyAlignment="1">
      <alignment horizontal="center" vertical="center"/>
    </xf>
    <xf numFmtId="0" fontId="67" fillId="0" borderId="274" xfId="0" quotePrefix="1" applyFont="1" applyBorder="1" applyAlignment="1">
      <alignment horizontal="center" vertical="center"/>
    </xf>
    <xf numFmtId="0" fontId="6" fillId="0" borderId="272" xfId="0" applyFont="1" applyBorder="1" applyAlignment="1">
      <alignment horizontal="right" vertical="center"/>
    </xf>
    <xf numFmtId="0" fontId="283" fillId="0" borderId="274" xfId="0" applyFont="1" applyBorder="1" applyAlignment="1">
      <alignment horizontal="left" vertical="center"/>
    </xf>
    <xf numFmtId="0" fontId="285" fillId="0" borderId="9" xfId="0" applyFont="1" applyBorder="1" applyAlignment="1">
      <alignment horizontal="right" vertical="center"/>
    </xf>
    <xf numFmtId="0" fontId="284" fillId="0" borderId="274" xfId="0" applyFont="1" applyBorder="1" applyAlignment="1" applyProtection="1">
      <alignment horizontal="right" vertical="center"/>
      <protection locked="0"/>
    </xf>
    <xf numFmtId="0" fontId="374" fillId="0" borderId="274" xfId="0" applyFont="1" applyBorder="1" applyAlignment="1">
      <alignment horizontal="right" vertical="center"/>
    </xf>
    <xf numFmtId="0" fontId="83" fillId="0" borderId="274" xfId="0" applyFont="1" applyBorder="1" applyAlignment="1">
      <alignment vertical="center"/>
    </xf>
    <xf numFmtId="0" fontId="83" fillId="0" borderId="0" xfId="0" applyFont="1" applyBorder="1" applyAlignment="1">
      <alignment horizontal="center" vertical="center"/>
    </xf>
    <xf numFmtId="0" fontId="83" fillId="0" borderId="274" xfId="0" applyFont="1" applyBorder="1" applyAlignment="1">
      <alignment horizontal="center" vertical="top"/>
    </xf>
    <xf numFmtId="1" fontId="83" fillId="0" borderId="0" xfId="0" applyNumberFormat="1" applyFont="1" applyBorder="1" applyAlignment="1">
      <alignment horizontal="center" vertical="center"/>
    </xf>
    <xf numFmtId="1" fontId="83" fillId="0" borderId="0" xfId="0" applyNumberFormat="1" applyFont="1" applyBorder="1" applyAlignment="1" applyProtection="1">
      <alignment horizontal="center" vertical="center"/>
      <protection hidden="1"/>
    </xf>
    <xf numFmtId="0" fontId="285" fillId="0" borderId="274" xfId="0" applyFont="1" applyBorder="1" applyAlignment="1">
      <alignment horizontal="right" vertical="center"/>
    </xf>
    <xf numFmtId="0" fontId="6" fillId="0" borderId="7" xfId="0" applyFont="1" applyBorder="1" applyAlignment="1">
      <alignment vertical="center"/>
    </xf>
    <xf numFmtId="0" fontId="12" fillId="0" borderId="274" xfId="0" applyFont="1" applyBorder="1" applyAlignment="1" applyProtection="1">
      <alignment horizontal="right" vertical="center"/>
      <protection locked="0"/>
    </xf>
    <xf numFmtId="0" fontId="350" fillId="0" borderId="9" xfId="0" applyFont="1" applyBorder="1" applyAlignment="1">
      <alignment vertical="center"/>
    </xf>
    <xf numFmtId="0" fontId="363" fillId="31" borderId="8" xfId="0" applyFont="1" applyFill="1" applyBorder="1" applyAlignment="1">
      <alignment vertical="center"/>
    </xf>
    <xf numFmtId="0" fontId="351" fillId="0" borderId="7" xfId="0" applyFont="1" applyBorder="1" applyAlignment="1">
      <alignment vertical="center"/>
    </xf>
    <xf numFmtId="0" fontId="329" fillId="31" borderId="8" xfId="0" applyFont="1" applyFill="1" applyBorder="1" applyAlignment="1">
      <alignment vertical="center"/>
    </xf>
    <xf numFmtId="0" fontId="174" fillId="0" borderId="274" xfId="0" applyFont="1" applyBorder="1" applyAlignment="1">
      <alignment horizontal="right" vertical="center"/>
    </xf>
    <xf numFmtId="0" fontId="15" fillId="0" borderId="274" xfId="0" applyFont="1" applyBorder="1" applyAlignment="1">
      <alignment vertical="center"/>
    </xf>
    <xf numFmtId="0" fontId="2" fillId="0" borderId="0" xfId="0" applyFont="1" applyBorder="1" applyAlignment="1">
      <alignment horizontal="right"/>
    </xf>
    <xf numFmtId="0" fontId="135" fillId="0" borderId="0" xfId="0" applyFont="1" applyBorder="1" applyAlignment="1">
      <alignment horizontal="center" vertical="center"/>
    </xf>
    <xf numFmtId="0" fontId="14" fillId="0" borderId="274" xfId="0" applyFont="1" applyBorder="1" applyAlignment="1">
      <alignment vertical="center"/>
    </xf>
    <xf numFmtId="0" fontId="376" fillId="0" borderId="274" xfId="0" applyFont="1" applyBorder="1" applyAlignment="1">
      <alignment vertical="center"/>
    </xf>
    <xf numFmtId="0" fontId="10" fillId="0" borderId="272" xfId="0" applyFont="1" applyBorder="1" applyAlignment="1">
      <alignment horizontal="right" vertical="center"/>
    </xf>
    <xf numFmtId="0" fontId="67" fillId="0" borderId="272" xfId="0" applyFont="1" applyBorder="1" applyAlignment="1" applyProtection="1">
      <alignment vertical="center"/>
      <protection hidden="1"/>
    </xf>
    <xf numFmtId="0" fontId="64" fillId="0" borderId="281" xfId="0" applyFont="1" applyBorder="1" applyAlignment="1">
      <alignment horizontal="centerContinuous" vertical="center"/>
    </xf>
    <xf numFmtId="0" fontId="44" fillId="0" borderId="282" xfId="0" applyFont="1" applyBorder="1" applyAlignment="1">
      <alignment horizontal="centerContinuous" vertical="center"/>
    </xf>
    <xf numFmtId="0" fontId="12" fillId="6" borderId="283" xfId="0" applyFont="1" applyFill="1" applyBorder="1" applyAlignment="1" applyProtection="1">
      <alignment horizontal="center" vertical="center"/>
      <protection locked="0"/>
    </xf>
    <xf numFmtId="0" fontId="178" fillId="0" borderId="272" xfId="0" applyFont="1" applyBorder="1" applyAlignment="1">
      <alignment horizontal="center" vertical="center"/>
    </xf>
    <xf numFmtId="0" fontId="68" fillId="0" borderId="0" xfId="0" applyFont="1" applyBorder="1" applyAlignment="1">
      <alignment horizontal="right" vertical="center"/>
    </xf>
    <xf numFmtId="0" fontId="2" fillId="11" borderId="272" xfId="0" applyFont="1" applyFill="1" applyBorder="1" applyAlignment="1">
      <alignment horizontal="right"/>
    </xf>
    <xf numFmtId="0" fontId="2" fillId="0" borderId="0" xfId="0" applyFont="1" applyBorder="1"/>
    <xf numFmtId="0" fontId="279" fillId="0" borderId="0" xfId="0" applyFont="1" applyBorder="1" applyProtection="1">
      <protection locked="0" hidden="1"/>
    </xf>
    <xf numFmtId="0" fontId="103" fillId="0" borderId="274" xfId="0" applyFont="1" applyBorder="1" applyAlignment="1">
      <alignment vertical="center"/>
    </xf>
    <xf numFmtId="0" fontId="42" fillId="0" borderId="0" xfId="0" applyFont="1" applyBorder="1" applyAlignment="1" applyProtection="1">
      <alignment horizontal="right" vertical="center"/>
      <protection hidden="1"/>
    </xf>
    <xf numFmtId="14" fontId="83" fillId="0" borderId="0" xfId="0" applyNumberFormat="1" applyFont="1" applyBorder="1" applyAlignment="1">
      <alignment horizontal="left" vertical="center"/>
    </xf>
    <xf numFmtId="0" fontId="167" fillId="0" borderId="0" xfId="0" applyFont="1" applyBorder="1" applyAlignment="1" applyProtection="1">
      <alignment horizontal="right" vertical="center"/>
      <protection hidden="1"/>
    </xf>
    <xf numFmtId="0" fontId="16" fillId="0" borderId="272" xfId="0" applyFont="1" applyBorder="1" applyAlignment="1">
      <alignment vertical="center"/>
    </xf>
    <xf numFmtId="9" fontId="32" fillId="0" borderId="0" xfId="0" applyNumberFormat="1" applyFont="1" applyBorder="1" applyAlignment="1">
      <alignment vertical="center"/>
    </xf>
    <xf numFmtId="165" fontId="278" fillId="0" borderId="0" xfId="0" applyNumberFormat="1" applyFont="1" applyBorder="1" applyAlignment="1" applyProtection="1">
      <alignment horizontal="center" vertical="center"/>
      <protection hidden="1"/>
    </xf>
    <xf numFmtId="9" fontId="32" fillId="0" borderId="274" xfId="3" applyFont="1" applyBorder="1" applyAlignment="1" applyProtection="1">
      <alignment horizontal="left" vertical="center"/>
      <protection hidden="1"/>
    </xf>
    <xf numFmtId="0" fontId="83" fillId="37" borderId="11" xfId="0" quotePrefix="1" applyFont="1" applyFill="1" applyBorder="1" applyAlignment="1">
      <alignment horizontal="center" wrapText="1"/>
    </xf>
    <xf numFmtId="0" fontId="11" fillId="0" borderId="268" xfId="0" applyFont="1" applyBorder="1" applyAlignment="1">
      <alignment vertical="center"/>
    </xf>
    <xf numFmtId="168" fontId="17" fillId="0" borderId="268" xfId="0" applyNumberFormat="1" applyFont="1" applyBorder="1" applyAlignment="1">
      <alignment vertical="center"/>
    </xf>
    <xf numFmtId="0" fontId="16" fillId="0" borderId="268" xfId="0" applyFont="1" applyBorder="1" applyProtection="1">
      <protection locked="0"/>
    </xf>
    <xf numFmtId="0" fontId="11" fillId="0" borderId="275" xfId="0" applyFont="1" applyBorder="1"/>
    <xf numFmtId="0" fontId="23" fillId="3" borderId="0" xfId="4" applyFont="1" applyFill="1" applyAlignment="1" applyProtection="1">
      <alignment horizontal="left"/>
      <protection locked="0"/>
    </xf>
    <xf numFmtId="0" fontId="78" fillId="3" borderId="0" xfId="4" applyFont="1" applyFill="1" applyAlignment="1" applyProtection="1">
      <alignment horizontal="left"/>
      <protection locked="0"/>
    </xf>
    <xf numFmtId="14" fontId="22" fillId="3" borderId="49" xfId="4" applyNumberFormat="1" applyFont="1" applyFill="1" applyBorder="1" applyAlignment="1" applyProtection="1">
      <alignment horizontal="center"/>
      <protection locked="0"/>
    </xf>
    <xf numFmtId="14" fontId="22" fillId="3" borderId="20" xfId="4" applyNumberFormat="1" applyFont="1" applyFill="1" applyBorder="1" applyAlignment="1" applyProtection="1">
      <alignment horizontal="center"/>
      <protection locked="0"/>
    </xf>
    <xf numFmtId="0" fontId="22" fillId="3" borderId="0" xfId="4" applyFont="1" applyFill="1" applyAlignment="1" applyProtection="1">
      <alignment horizontal="left"/>
      <protection locked="0"/>
    </xf>
    <xf numFmtId="0" fontId="79" fillId="3" borderId="0" xfId="4" applyFont="1" applyFill="1" applyAlignment="1" applyProtection="1">
      <alignment horizontal="left"/>
      <protection locked="0"/>
    </xf>
    <xf numFmtId="0" fontId="110" fillId="0" borderId="19" xfId="1" applyNumberFormat="1" applyFont="1" applyBorder="1" applyAlignment="1" applyProtection="1">
      <alignment horizontal="center" vertical="top" wrapText="1"/>
    </xf>
    <xf numFmtId="0" fontId="110" fillId="0" borderId="19" xfId="1" applyNumberFormat="1" applyFont="1" applyBorder="1" applyAlignment="1" applyProtection="1">
      <alignment horizontal="center" vertical="top"/>
    </xf>
    <xf numFmtId="0" fontId="11" fillId="12" borderId="39" xfId="0" applyFont="1" applyFill="1" applyBorder="1" applyAlignment="1" applyProtection="1">
      <alignment horizontal="center"/>
      <protection hidden="1"/>
    </xf>
    <xf numFmtId="0" fontId="11" fillId="12" borderId="0" xfId="0" applyFont="1" applyFill="1" applyAlignment="1" applyProtection="1">
      <alignment horizontal="center"/>
      <protection hidden="1"/>
    </xf>
    <xf numFmtId="0" fontId="11" fillId="0" borderId="1" xfId="0" applyFont="1" applyBorder="1" applyAlignment="1" applyProtection="1">
      <alignment horizontal="center"/>
      <protection hidden="1"/>
    </xf>
    <xf numFmtId="0" fontId="11" fillId="0" borderId="15" xfId="0" applyFont="1" applyBorder="1" applyAlignment="1" applyProtection="1">
      <alignment horizontal="center"/>
      <protection hidden="1"/>
    </xf>
    <xf numFmtId="0" fontId="97" fillId="0" borderId="18" xfId="0" applyFont="1" applyBorder="1" applyAlignment="1">
      <alignment horizontal="left" vertical="center" wrapText="1"/>
    </xf>
    <xf numFmtId="0" fontId="11" fillId="0" borderId="13" xfId="0" applyFont="1" applyBorder="1" applyAlignment="1" applyProtection="1">
      <alignment horizontal="center"/>
      <protection hidden="1"/>
    </xf>
    <xf numFmtId="0" fontId="13" fillId="12" borderId="39" xfId="0" applyFont="1" applyFill="1" applyBorder="1" applyAlignment="1" applyProtection="1">
      <alignment horizontal="center"/>
      <protection hidden="1"/>
    </xf>
    <xf numFmtId="0" fontId="13" fillId="12" borderId="0" xfId="0" applyFont="1" applyFill="1" applyAlignment="1" applyProtection="1">
      <alignment horizontal="center"/>
      <protection hidden="1"/>
    </xf>
    <xf numFmtId="0" fontId="110" fillId="0" borderId="187" xfId="1" applyNumberFormat="1" applyFont="1" applyBorder="1" applyAlignment="1" applyProtection="1">
      <alignment horizontal="center" vertical="top" wrapText="1"/>
    </xf>
    <xf numFmtId="0" fontId="110" fillId="0" borderId="187" xfId="1" applyNumberFormat="1" applyFont="1" applyBorder="1" applyAlignment="1" applyProtection="1">
      <alignment horizontal="center" vertical="top"/>
    </xf>
    <xf numFmtId="0" fontId="6" fillId="12" borderId="272" xfId="0" applyFont="1" applyFill="1" applyBorder="1" applyAlignment="1" applyProtection="1">
      <alignment horizontal="left"/>
      <protection locked="0"/>
    </xf>
    <xf numFmtId="0" fontId="6" fillId="12" borderId="0" xfId="0" applyFont="1" applyFill="1" applyBorder="1" applyAlignment="1" applyProtection="1">
      <alignment horizontal="left"/>
      <protection locked="0"/>
    </xf>
    <xf numFmtId="173" fontId="6" fillId="0" borderId="100" xfId="0" applyNumberFormat="1" applyFont="1" applyBorder="1" applyAlignment="1">
      <alignment horizontal="center" vertical="center"/>
    </xf>
    <xf numFmtId="173" fontId="6" fillId="0" borderId="242" xfId="0" applyNumberFormat="1" applyFont="1" applyBorder="1" applyAlignment="1">
      <alignment horizontal="center" vertical="center"/>
    </xf>
    <xf numFmtId="0" fontId="12" fillId="0" borderId="272" xfId="0" applyFont="1" applyBorder="1" applyAlignment="1" applyProtection="1">
      <alignment horizontal="left" vertical="center"/>
      <protection hidden="1"/>
    </xf>
    <xf numFmtId="0" fontId="12" fillId="0" borderId="0" xfId="0" applyFont="1" applyBorder="1" applyAlignment="1" applyProtection="1">
      <alignment horizontal="left" vertical="center"/>
      <protection hidden="1"/>
    </xf>
    <xf numFmtId="0" fontId="135" fillId="3" borderId="4" xfId="0" applyFont="1" applyFill="1" applyBorder="1" applyAlignment="1" applyProtection="1">
      <alignment horizontal="left"/>
      <protection locked="0"/>
    </xf>
    <xf numFmtId="0" fontId="135" fillId="3" borderId="271" xfId="0" applyFont="1" applyFill="1" applyBorder="1" applyAlignment="1" applyProtection="1">
      <alignment horizontal="left"/>
      <protection locked="0"/>
    </xf>
    <xf numFmtId="0" fontId="135" fillId="3" borderId="17" xfId="0" applyFont="1" applyFill="1" applyBorder="1" applyAlignment="1" applyProtection="1">
      <alignment horizontal="left"/>
      <protection locked="0"/>
    </xf>
    <xf numFmtId="0" fontId="12" fillId="3" borderId="4" xfId="0" applyFont="1" applyFill="1" applyBorder="1" applyAlignment="1" applyProtection="1">
      <alignment horizontal="left" vertical="center"/>
      <protection locked="0"/>
    </xf>
    <xf numFmtId="0" fontId="12" fillId="3" borderId="271" xfId="0" applyFont="1" applyFill="1" applyBorder="1" applyAlignment="1" applyProtection="1">
      <alignment horizontal="left" vertical="center"/>
      <protection locked="0"/>
    </xf>
    <xf numFmtId="0" fontId="12" fillId="3" borderId="17" xfId="0" applyFont="1" applyFill="1" applyBorder="1" applyAlignment="1" applyProtection="1">
      <alignment horizontal="left" vertical="center"/>
      <protection locked="0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1" fontId="83" fillId="0" borderId="272" xfId="0" applyNumberFormat="1" applyFont="1" applyBorder="1" applyAlignment="1">
      <alignment horizontal="left" vertical="center"/>
    </xf>
    <xf numFmtId="1" fontId="83" fillId="0" borderId="0" xfId="0" applyNumberFormat="1" applyFont="1" applyBorder="1" applyAlignment="1">
      <alignment horizontal="left" vertical="center"/>
    </xf>
    <xf numFmtId="0" fontId="83" fillId="3" borderId="271" xfId="0" applyFont="1" applyFill="1" applyBorder="1" applyAlignment="1" applyProtection="1">
      <alignment horizontal="left" vertical="center"/>
      <protection locked="0"/>
    </xf>
    <xf numFmtId="0" fontId="83" fillId="3" borderId="17" xfId="0" applyFont="1" applyFill="1" applyBorder="1" applyAlignment="1" applyProtection="1">
      <alignment horizontal="left" vertical="center"/>
      <protection locked="0"/>
    </xf>
    <xf numFmtId="0" fontId="6" fillId="3" borderId="4" xfId="0" applyFont="1" applyFill="1" applyBorder="1" applyAlignment="1" applyProtection="1">
      <alignment horizontal="left" vertical="center"/>
      <protection locked="0"/>
    </xf>
    <xf numFmtId="0" fontId="6" fillId="3" borderId="271" xfId="0" applyFont="1" applyFill="1" applyBorder="1" applyAlignment="1" applyProtection="1">
      <alignment horizontal="left" vertical="center"/>
      <protection locked="0"/>
    </xf>
    <xf numFmtId="0" fontId="6" fillId="3" borderId="17" xfId="0" applyFont="1" applyFill="1" applyBorder="1" applyAlignment="1" applyProtection="1">
      <alignment horizontal="left" vertical="center"/>
      <protection locked="0"/>
    </xf>
    <xf numFmtId="0" fontId="6" fillId="12" borderId="4" xfId="0" applyFont="1" applyFill="1" applyBorder="1" applyAlignment="1" applyProtection="1">
      <alignment horizontal="left" vertical="center"/>
      <protection locked="0" hidden="1"/>
    </xf>
    <xf numFmtId="0" fontId="6" fillId="12" borderId="271" xfId="0" applyFont="1" applyFill="1" applyBorder="1" applyAlignment="1" applyProtection="1">
      <alignment horizontal="left" vertical="center"/>
      <protection locked="0" hidden="1"/>
    </xf>
    <xf numFmtId="0" fontId="6" fillId="12" borderId="17" xfId="0" applyFont="1" applyFill="1" applyBorder="1" applyAlignment="1" applyProtection="1">
      <alignment horizontal="left" vertical="center"/>
      <protection locked="0" hidden="1"/>
    </xf>
    <xf numFmtId="0" fontId="6" fillId="12" borderId="11" xfId="0" applyFont="1" applyFill="1" applyBorder="1" applyAlignment="1" applyProtection="1">
      <alignment horizontal="left"/>
      <protection locked="0"/>
    </xf>
    <xf numFmtId="0" fontId="6" fillId="12" borderId="268" xfId="0" applyFont="1" applyFill="1" applyBorder="1" applyAlignment="1" applyProtection="1">
      <alignment horizontal="left"/>
      <protection locked="0"/>
    </xf>
    <xf numFmtId="0" fontId="12" fillId="12" borderId="272" xfId="0" applyFont="1" applyFill="1" applyBorder="1" applyAlignment="1" applyProtection="1">
      <alignment horizontal="left" vertical="center"/>
      <protection locked="0" hidden="1"/>
    </xf>
    <xf numFmtId="0" fontId="0" fillId="0" borderId="0" xfId="0" applyBorder="1" applyAlignment="1">
      <alignment horizontal="left" vertical="center"/>
    </xf>
    <xf numFmtId="0" fontId="0" fillId="0" borderId="274" xfId="0" applyBorder="1" applyAlignment="1">
      <alignment horizontal="left" vertical="center"/>
    </xf>
    <xf numFmtId="0" fontId="12" fillId="12" borderId="0" xfId="0" applyFont="1" applyFill="1" applyBorder="1" applyAlignment="1" applyProtection="1">
      <alignment horizontal="left" vertical="center"/>
      <protection locked="0" hidden="1"/>
    </xf>
    <xf numFmtId="0" fontId="12" fillId="12" borderId="274" xfId="0" applyFont="1" applyFill="1" applyBorder="1" applyAlignment="1" applyProtection="1">
      <alignment horizontal="left" vertical="center"/>
      <protection locked="0" hidden="1"/>
    </xf>
    <xf numFmtId="0" fontId="135" fillId="0" borderId="11" xfId="0" applyFont="1" applyBorder="1" applyAlignment="1">
      <alignment horizontal="left" vertical="center"/>
    </xf>
    <xf numFmtId="0" fontId="135" fillId="0" borderId="271" xfId="0" applyFont="1" applyBorder="1" applyAlignment="1">
      <alignment horizontal="left" vertical="center"/>
    </xf>
    <xf numFmtId="0" fontId="12" fillId="12" borderId="1" xfId="0" applyFont="1" applyFill="1" applyBorder="1" applyAlignment="1" applyProtection="1">
      <alignment horizontal="left" vertical="center"/>
      <protection locked="0" hidden="1"/>
    </xf>
    <xf numFmtId="0" fontId="12" fillId="12" borderId="267" xfId="0" applyFont="1" applyFill="1" applyBorder="1" applyAlignment="1" applyProtection="1">
      <alignment horizontal="left" vertical="center"/>
      <protection locked="0" hidden="1"/>
    </xf>
    <xf numFmtId="0" fontId="12" fillId="12" borderId="15" xfId="0" applyFont="1" applyFill="1" applyBorder="1" applyAlignment="1" applyProtection="1">
      <alignment horizontal="left" vertical="center"/>
      <protection locked="0" hidden="1"/>
    </xf>
    <xf numFmtId="0" fontId="12" fillId="12" borderId="11" xfId="0" applyFont="1" applyFill="1" applyBorder="1" applyAlignment="1" applyProtection="1">
      <alignment horizontal="left" vertical="center"/>
      <protection locked="0" hidden="1"/>
    </xf>
    <xf numFmtId="0" fontId="12" fillId="12" borderId="268" xfId="0" applyFont="1" applyFill="1" applyBorder="1" applyAlignment="1" applyProtection="1">
      <alignment horizontal="left" vertical="center"/>
      <protection locked="0" hidden="1"/>
    </xf>
    <xf numFmtId="0" fontId="12" fillId="12" borderId="275" xfId="0" applyFont="1" applyFill="1" applyBorder="1" applyAlignment="1" applyProtection="1">
      <alignment horizontal="left" vertical="center"/>
      <protection locked="0" hidden="1"/>
    </xf>
    <xf numFmtId="0" fontId="6" fillId="0" borderId="2" xfId="0" applyFont="1" applyBorder="1" applyAlignment="1" applyProtection="1">
      <alignment horizontal="center" vertical="center"/>
      <protection hidden="1"/>
    </xf>
    <xf numFmtId="0" fontId="6" fillId="0" borderId="16" xfId="0" applyFont="1" applyBorder="1" applyAlignment="1" applyProtection="1">
      <alignment horizontal="center" vertical="center"/>
      <protection hidden="1"/>
    </xf>
    <xf numFmtId="0" fontId="6" fillId="12" borderId="39" xfId="0" applyFont="1" applyFill="1" applyBorder="1" applyAlignment="1" applyProtection="1">
      <alignment horizontal="left"/>
      <protection locked="0"/>
    </xf>
    <xf numFmtId="0" fontId="6" fillId="12" borderId="136" xfId="0" applyFont="1" applyFill="1" applyBorder="1" applyAlignment="1" applyProtection="1">
      <alignment horizontal="left"/>
      <protection locked="0"/>
    </xf>
    <xf numFmtId="0" fontId="6" fillId="12" borderId="50" xfId="0" applyFont="1" applyFill="1" applyBorder="1" applyAlignment="1" applyProtection="1">
      <alignment horizontal="left"/>
      <protection locked="0"/>
    </xf>
    <xf numFmtId="0" fontId="6" fillId="12" borderId="49" xfId="0" applyFont="1" applyFill="1" applyBorder="1" applyAlignment="1" applyProtection="1">
      <alignment horizontal="left"/>
      <protection locked="0"/>
    </xf>
    <xf numFmtId="0" fontId="6" fillId="12" borderId="205" xfId="0" applyFont="1" applyFill="1" applyBorder="1" applyAlignment="1" applyProtection="1">
      <alignment horizontal="left"/>
      <protection locked="0"/>
    </xf>
    <xf numFmtId="0" fontId="36" fillId="3" borderId="4" xfId="0" applyFont="1" applyFill="1" applyBorder="1" applyAlignment="1" applyProtection="1">
      <alignment horizontal="left" shrinkToFit="1"/>
      <protection locked="0"/>
    </xf>
    <xf numFmtId="0" fontId="36" fillId="3" borderId="5" xfId="0" applyFont="1" applyFill="1" applyBorder="1" applyAlignment="1" applyProtection="1">
      <alignment horizontal="left" shrinkToFit="1"/>
      <protection locked="0"/>
    </xf>
    <xf numFmtId="0" fontId="36" fillId="3" borderId="17" xfId="0" applyFont="1" applyFill="1" applyBorder="1" applyAlignment="1" applyProtection="1">
      <alignment horizontal="left" shrinkToFit="1"/>
      <protection locked="0"/>
    </xf>
    <xf numFmtId="0" fontId="12" fillId="0" borderId="4" xfId="0" applyFont="1" applyBorder="1" applyAlignment="1" applyProtection="1">
      <alignment horizontal="center"/>
      <protection hidden="1"/>
    </xf>
    <xf numFmtId="0" fontId="12" fillId="0" borderId="17" xfId="0" applyFont="1" applyBorder="1" applyAlignment="1" applyProtection="1">
      <alignment horizontal="center"/>
      <protection hidden="1"/>
    </xf>
    <xf numFmtId="49" fontId="151" fillId="0" borderId="0" xfId="0" quotePrefix="1" applyNumberFormat="1" applyFont="1" applyAlignment="1" applyProtection="1">
      <alignment horizontal="left" vertical="top"/>
      <protection hidden="1"/>
    </xf>
    <xf numFmtId="0" fontId="13" fillId="4" borderId="0" xfId="0" applyFont="1" applyFill="1" applyAlignment="1" applyProtection="1">
      <alignment horizontal="left" vertical="center"/>
      <protection hidden="1"/>
    </xf>
    <xf numFmtId="0" fontId="13" fillId="9" borderId="0" xfId="0" applyFont="1" applyFill="1" applyAlignment="1" applyProtection="1">
      <alignment horizontal="left" vertical="top"/>
      <protection hidden="1"/>
    </xf>
    <xf numFmtId="0" fontId="29" fillId="0" borderId="279" xfId="0" applyFont="1" applyBorder="1" applyAlignment="1" applyProtection="1">
      <alignment horizontal="left" vertical="top" wrapText="1"/>
      <protection hidden="1"/>
    </xf>
    <xf numFmtId="0" fontId="275" fillId="0" borderId="279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83" fillId="47" borderId="0" xfId="0" quotePrefix="1" applyFont="1" applyFill="1" applyBorder="1" applyAlignment="1">
      <alignment horizontal="center" wrapText="1"/>
    </xf>
    <xf numFmtId="0" fontId="105" fillId="0" borderId="240" xfId="0" applyFont="1" applyBorder="1" applyAlignment="1">
      <alignment horizontal="center" vertical="center"/>
    </xf>
    <xf numFmtId="0" fontId="105" fillId="0" borderId="241" xfId="0" applyFont="1" applyBorder="1" applyAlignment="1">
      <alignment horizontal="center" vertical="center"/>
    </xf>
    <xf numFmtId="0" fontId="6" fillId="0" borderId="4" xfId="0" applyFont="1" applyBorder="1" applyAlignment="1" applyProtection="1">
      <alignment horizontal="center"/>
      <protection hidden="1"/>
    </xf>
    <xf numFmtId="0" fontId="6" fillId="0" borderId="17" xfId="0" applyFont="1" applyBorder="1" applyAlignment="1" applyProtection="1">
      <alignment horizontal="center"/>
      <protection hidden="1"/>
    </xf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29" fillId="3" borderId="4" xfId="0" applyFont="1" applyFill="1" applyBorder="1" applyAlignment="1" applyProtection="1">
      <alignment horizontal="left" shrinkToFit="1"/>
      <protection locked="0"/>
    </xf>
    <xf numFmtId="0" fontId="29" fillId="3" borderId="5" xfId="0" applyFont="1" applyFill="1" applyBorder="1" applyAlignment="1" applyProtection="1">
      <alignment horizontal="left" shrinkToFit="1"/>
      <protection locked="0"/>
    </xf>
    <xf numFmtId="0" fontId="29" fillId="3" borderId="17" xfId="0" applyFont="1" applyFill="1" applyBorder="1" applyAlignment="1" applyProtection="1">
      <alignment horizontal="left" shrinkToFit="1"/>
      <protection locked="0"/>
    </xf>
    <xf numFmtId="0" fontId="83" fillId="12" borderId="4" xfId="0" applyFont="1" applyFill="1" applyBorder="1" applyAlignment="1" applyProtection="1">
      <alignment horizontal="center"/>
      <protection hidden="1"/>
    </xf>
    <xf numFmtId="0" fontId="83" fillId="12" borderId="5" xfId="0" applyFont="1" applyFill="1" applyBorder="1" applyAlignment="1" applyProtection="1">
      <alignment horizontal="center"/>
      <protection hidden="1"/>
    </xf>
    <xf numFmtId="0" fontId="83" fillId="12" borderId="17" xfId="0" applyFont="1" applyFill="1" applyBorder="1" applyAlignment="1" applyProtection="1">
      <alignment horizontal="center"/>
      <protection hidden="1"/>
    </xf>
    <xf numFmtId="0" fontId="83" fillId="9" borderId="4" xfId="0" applyFont="1" applyFill="1" applyBorder="1" applyAlignment="1">
      <alignment horizontal="center"/>
    </xf>
    <xf numFmtId="0" fontId="83" fillId="9" borderId="5" xfId="0" applyFont="1" applyFill="1" applyBorder="1" applyAlignment="1">
      <alignment horizontal="center"/>
    </xf>
    <xf numFmtId="0" fontId="83" fillId="9" borderId="17" xfId="0" applyFont="1" applyFill="1" applyBorder="1" applyAlignment="1">
      <alignment horizontal="center"/>
    </xf>
    <xf numFmtId="0" fontId="83" fillId="16" borderId="4" xfId="0" applyFont="1" applyFill="1" applyBorder="1" applyAlignment="1" applyProtection="1">
      <alignment horizontal="center"/>
      <protection hidden="1"/>
    </xf>
    <xf numFmtId="0" fontId="83" fillId="16" borderId="17" xfId="0" applyFont="1" applyFill="1" applyBorder="1" applyAlignment="1" applyProtection="1">
      <alignment horizontal="center"/>
      <protection hidden="1"/>
    </xf>
    <xf numFmtId="0" fontId="12" fillId="3" borderId="0" xfId="0" applyFont="1" applyFill="1" applyAlignment="1" applyProtection="1">
      <alignment horizontal="left" vertical="center"/>
      <protection locked="0"/>
    </xf>
    <xf numFmtId="1" fontId="12" fillId="3" borderId="13" xfId="0" applyNumberFormat="1" applyFont="1" applyFill="1" applyBorder="1" applyAlignment="1" applyProtection="1">
      <alignment horizontal="left" vertical="center"/>
      <protection locked="0"/>
    </xf>
    <xf numFmtId="1" fontId="135" fillId="0" borderId="129" xfId="0" applyNumberFormat="1" applyFont="1" applyBorder="1" applyAlignment="1" applyProtection="1">
      <alignment horizontal="center"/>
      <protection hidden="1"/>
    </xf>
    <xf numFmtId="1" fontId="83" fillId="0" borderId="129" xfId="0" applyNumberFormat="1" applyFont="1" applyBorder="1" applyAlignment="1" applyProtection="1">
      <alignment horizontal="center"/>
      <protection hidden="1"/>
    </xf>
    <xf numFmtId="0" fontId="6" fillId="0" borderId="271" xfId="0" applyFont="1" applyBorder="1" applyAlignment="1" applyProtection="1">
      <alignment horizontal="left" vertical="center"/>
      <protection locked="0" hidden="1"/>
    </xf>
    <xf numFmtId="0" fontId="6" fillId="0" borderId="17" xfId="0" applyFont="1" applyBorder="1" applyAlignment="1" applyProtection="1">
      <alignment horizontal="left" vertical="center"/>
      <protection locked="0" hidden="1"/>
    </xf>
    <xf numFmtId="0" fontId="306" fillId="3" borderId="4" xfId="1" applyFont="1" applyFill="1" applyBorder="1" applyAlignment="1" applyProtection="1">
      <alignment horizontal="left" vertical="center"/>
      <protection hidden="1"/>
    </xf>
    <xf numFmtId="0" fontId="306" fillId="3" borderId="271" xfId="1" applyFont="1" applyFill="1" applyBorder="1" applyAlignment="1" applyProtection="1">
      <alignment horizontal="left" vertical="center"/>
      <protection hidden="1"/>
    </xf>
    <xf numFmtId="0" fontId="306" fillId="3" borderId="276" xfId="1" applyFont="1" applyFill="1" applyBorder="1" applyAlignment="1" applyProtection="1">
      <alignment horizontal="left" vertical="center"/>
      <protection hidden="1"/>
    </xf>
    <xf numFmtId="0" fontId="12" fillId="12" borderId="272" xfId="0" applyFont="1" applyFill="1" applyBorder="1" applyAlignment="1" applyProtection="1">
      <alignment horizontal="left" vertical="center"/>
      <protection locked="0"/>
    </xf>
    <xf numFmtId="0" fontId="12" fillId="12" borderId="0" xfId="0" applyFont="1" applyFill="1" applyBorder="1" applyAlignment="1" applyProtection="1">
      <alignment horizontal="left" vertical="center"/>
      <protection locked="0"/>
    </xf>
    <xf numFmtId="0" fontId="12" fillId="12" borderId="274" xfId="0" applyFont="1" applyFill="1" applyBorder="1" applyAlignment="1" applyProtection="1">
      <alignment horizontal="left" vertical="center"/>
      <protection locked="0"/>
    </xf>
    <xf numFmtId="0" fontId="135" fillId="3" borderId="271" xfId="0" applyFont="1" applyFill="1" applyBorder="1" applyAlignment="1" applyProtection="1">
      <alignment horizontal="left" vertical="center"/>
      <protection locked="0"/>
    </xf>
    <xf numFmtId="0" fontId="135" fillId="3" borderId="17" xfId="0" applyFont="1" applyFill="1" applyBorder="1" applyAlignment="1" applyProtection="1">
      <alignment horizontal="left" vertical="center"/>
      <protection locked="0"/>
    </xf>
    <xf numFmtId="0" fontId="135" fillId="3" borderId="4" xfId="0" applyFont="1" applyFill="1" applyBorder="1" applyAlignment="1" applyProtection="1">
      <alignment horizontal="left" vertical="center"/>
      <protection locked="0"/>
    </xf>
    <xf numFmtId="0" fontId="12" fillId="12" borderId="11" xfId="0" applyFont="1" applyFill="1" applyBorder="1" applyAlignment="1" applyProtection="1">
      <alignment horizontal="left" vertical="center"/>
      <protection locked="0"/>
    </xf>
    <xf numFmtId="0" fontId="12" fillId="12" borderId="268" xfId="0" applyFont="1" applyFill="1" applyBorder="1" applyAlignment="1" applyProtection="1">
      <alignment horizontal="left" vertical="center"/>
      <protection locked="0"/>
    </xf>
    <xf numFmtId="0" fontId="12" fillId="12" borderId="275" xfId="0" applyFont="1" applyFill="1" applyBorder="1" applyAlignment="1" applyProtection="1">
      <alignment horizontal="left" vertical="center"/>
      <protection locked="0"/>
    </xf>
    <xf numFmtId="0" fontId="12" fillId="12" borderId="1" xfId="0" applyFont="1" applyFill="1" applyBorder="1" applyAlignment="1" applyProtection="1">
      <alignment horizontal="left" vertical="center"/>
      <protection locked="0"/>
    </xf>
    <xf numFmtId="0" fontId="12" fillId="12" borderId="267" xfId="0" applyFont="1" applyFill="1" applyBorder="1" applyAlignment="1" applyProtection="1">
      <alignment horizontal="left" vertical="center"/>
      <protection locked="0"/>
    </xf>
    <xf numFmtId="0" fontId="12" fillId="12" borderId="15" xfId="0" applyFont="1" applyFill="1" applyBorder="1" applyAlignment="1" applyProtection="1">
      <alignment horizontal="left" vertical="center"/>
      <protection locked="0"/>
    </xf>
    <xf numFmtId="0" fontId="106" fillId="3" borderId="4" xfId="0" applyFont="1" applyFill="1" applyBorder="1" applyAlignment="1" applyProtection="1">
      <alignment horizontal="left" vertical="center" shrinkToFit="1"/>
      <protection locked="0"/>
    </xf>
    <xf numFmtId="0" fontId="106" fillId="3" borderId="271" xfId="0" applyFont="1" applyFill="1" applyBorder="1" applyAlignment="1" applyProtection="1">
      <alignment horizontal="left" vertical="center" shrinkToFit="1"/>
      <protection locked="0"/>
    </xf>
    <xf numFmtId="0" fontId="106" fillId="3" borderId="17" xfId="0" applyFont="1" applyFill="1" applyBorder="1" applyAlignment="1" applyProtection="1">
      <alignment horizontal="left" vertical="center" shrinkToFit="1"/>
      <protection locked="0"/>
    </xf>
    <xf numFmtId="0" fontId="170" fillId="0" borderId="9" xfId="0" applyFont="1" applyBorder="1" applyAlignment="1">
      <alignment horizontal="center" vertical="center" wrapText="1"/>
    </xf>
    <xf numFmtId="0" fontId="309" fillId="37" borderId="2" xfId="0" applyFont="1" applyFill="1" applyBorder="1" applyAlignment="1" applyProtection="1">
      <alignment horizontal="center" vertical="center"/>
      <protection hidden="1"/>
    </xf>
    <xf numFmtId="0" fontId="309" fillId="37" borderId="0" xfId="0" applyFont="1" applyFill="1" applyAlignment="1" applyProtection="1">
      <alignment horizontal="center" vertical="center"/>
      <protection hidden="1"/>
    </xf>
    <xf numFmtId="0" fontId="309" fillId="37" borderId="16" xfId="0" applyFont="1" applyFill="1" applyBorder="1" applyAlignment="1" applyProtection="1">
      <alignment horizontal="center" vertical="center"/>
      <protection hidden="1"/>
    </xf>
    <xf numFmtId="0" fontId="317" fillId="0" borderId="0" xfId="1" applyFont="1" applyAlignment="1" applyProtection="1">
      <alignment horizontal="left" vertical="top"/>
      <protection hidden="1"/>
    </xf>
    <xf numFmtId="0" fontId="306" fillId="0" borderId="0" xfId="1" applyFont="1" applyAlignment="1" applyProtection="1">
      <alignment horizontal="left" vertical="top"/>
      <protection hidden="1"/>
    </xf>
    <xf numFmtId="0" fontId="317" fillId="0" borderId="0" xfId="1" applyFont="1" applyAlignment="1" applyProtection="1">
      <alignment horizontal="left" vertical="center"/>
      <protection hidden="1"/>
    </xf>
    <xf numFmtId="0" fontId="306" fillId="0" borderId="0" xfId="1" applyFont="1" applyAlignment="1" applyProtection="1">
      <alignment horizontal="left" vertical="center"/>
      <protection hidden="1"/>
    </xf>
    <xf numFmtId="172" fontId="6" fillId="3" borderId="4" xfId="0" applyNumberFormat="1" applyFont="1" applyFill="1" applyBorder="1" applyAlignment="1" applyProtection="1">
      <alignment horizontal="center" vertical="center" shrinkToFit="1"/>
      <protection locked="0"/>
    </xf>
    <xf numFmtId="172" fontId="6" fillId="3" borderId="17" xfId="0" applyNumberFormat="1" applyFont="1" applyFill="1" applyBorder="1" applyAlignment="1" applyProtection="1">
      <alignment horizontal="center" vertical="center" shrinkToFit="1"/>
      <protection locked="0"/>
    </xf>
    <xf numFmtId="186" fontId="2" fillId="3" borderId="4" xfId="2" quotePrefix="1" applyNumberFormat="1" applyFont="1" applyFill="1" applyBorder="1" applyAlignment="1" applyProtection="1">
      <alignment horizontal="center" vertical="center"/>
      <protection locked="0"/>
    </xf>
    <xf numFmtId="186" fontId="2" fillId="3" borderId="17" xfId="2" applyNumberFormat="1" applyFont="1" applyFill="1" applyBorder="1" applyAlignment="1" applyProtection="1">
      <alignment horizontal="center" vertical="center"/>
      <protection locked="0"/>
    </xf>
    <xf numFmtId="0" fontId="22" fillId="3" borderId="1" xfId="0" applyFont="1" applyFill="1" applyBorder="1" applyAlignment="1" applyProtection="1">
      <alignment horizontal="left" vertical="center" shrinkToFit="1"/>
      <protection locked="0"/>
    </xf>
    <xf numFmtId="0" fontId="22" fillId="3" borderId="267" xfId="0" applyFont="1" applyFill="1" applyBorder="1" applyAlignment="1" applyProtection="1">
      <alignment horizontal="left" vertical="center" shrinkToFit="1"/>
      <protection locked="0"/>
    </xf>
    <xf numFmtId="0" fontId="22" fillId="3" borderId="0" xfId="0" applyFont="1" applyFill="1" applyBorder="1" applyAlignment="1" applyProtection="1">
      <alignment horizontal="left" vertical="center" shrinkToFit="1"/>
      <protection locked="0"/>
    </xf>
    <xf numFmtId="0" fontId="22" fillId="3" borderId="274" xfId="0" applyFont="1" applyFill="1" applyBorder="1" applyAlignment="1" applyProtection="1">
      <alignment horizontal="left" vertical="center" shrinkToFit="1"/>
      <protection locked="0"/>
    </xf>
    <xf numFmtId="14" fontId="2" fillId="3" borderId="4" xfId="0" applyNumberFormat="1" applyFont="1" applyFill="1" applyBorder="1" applyAlignment="1" applyProtection="1">
      <alignment horizontal="center" vertical="center"/>
      <protection locked="0"/>
    </xf>
    <xf numFmtId="14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12" fillId="12" borderId="268" xfId="0" applyFont="1" applyFill="1" applyBorder="1" applyAlignment="1" applyProtection="1">
      <alignment horizontal="center" vertical="center"/>
      <protection locked="0"/>
    </xf>
    <xf numFmtId="0" fontId="105" fillId="0" borderId="0" xfId="0" applyFont="1" applyAlignment="1">
      <alignment horizontal="left" wrapText="1"/>
    </xf>
    <xf numFmtId="0" fontId="163" fillId="0" borderId="0" xfId="1" applyFont="1" applyBorder="1" applyAlignment="1" applyProtection="1">
      <alignment horizontal="left" vertical="top"/>
      <protection hidden="1"/>
    </xf>
    <xf numFmtId="0" fontId="294" fillId="0" borderId="0" xfId="0" quotePrefix="1" applyFont="1" applyAlignment="1" applyProtection="1">
      <alignment horizontal="left" vertical="center" wrapText="1"/>
      <protection hidden="1"/>
    </xf>
    <xf numFmtId="0" fontId="294" fillId="0" borderId="0" xfId="0" applyFont="1" applyAlignment="1" applyProtection="1">
      <alignment horizontal="left" vertical="center"/>
      <protection hidden="1"/>
    </xf>
    <xf numFmtId="0" fontId="22" fillId="3" borderId="11" xfId="0" applyFont="1" applyFill="1" applyBorder="1" applyAlignment="1" applyProtection="1">
      <alignment horizontal="left" vertical="center" shrinkToFit="1"/>
      <protection locked="0"/>
    </xf>
    <xf numFmtId="0" fontId="22" fillId="3" borderId="268" xfId="0" applyFont="1" applyFill="1" applyBorder="1" applyAlignment="1" applyProtection="1">
      <alignment horizontal="left" vertical="center" shrinkToFit="1"/>
      <protection locked="0"/>
    </xf>
    <xf numFmtId="0" fontId="22" fillId="3" borderId="275" xfId="0" applyFont="1" applyFill="1" applyBorder="1" applyAlignment="1" applyProtection="1">
      <alignment horizontal="left" vertical="center" shrinkToFit="1"/>
      <protection locked="0"/>
    </xf>
    <xf numFmtId="0" fontId="106" fillId="3" borderId="1" xfId="0" quotePrefix="1" applyFont="1" applyFill="1" applyBorder="1" applyAlignment="1" applyProtection="1">
      <alignment horizontal="left" vertical="top" wrapText="1"/>
      <protection locked="0"/>
    </xf>
    <xf numFmtId="0" fontId="0" fillId="0" borderId="267" xfId="0" applyBorder="1" applyAlignment="1" applyProtection="1">
      <alignment horizontal="left" vertical="top" wrapText="1"/>
      <protection locked="0"/>
    </xf>
    <xf numFmtId="0" fontId="0" fillId="0" borderId="15" xfId="0" applyBorder="1" applyAlignment="1" applyProtection="1">
      <alignment horizontal="left" vertical="top" wrapText="1"/>
      <protection locked="0"/>
    </xf>
    <xf numFmtId="0" fontId="0" fillId="0" borderId="11" xfId="0" applyBorder="1" applyAlignment="1" applyProtection="1">
      <alignment horizontal="left" vertical="top" wrapText="1"/>
      <protection locked="0"/>
    </xf>
    <xf numFmtId="0" fontId="0" fillId="0" borderId="268" xfId="0" applyBorder="1" applyAlignment="1" applyProtection="1">
      <alignment horizontal="left" vertical="top" wrapText="1"/>
      <protection locked="0"/>
    </xf>
    <xf numFmtId="0" fontId="0" fillId="0" borderId="275" xfId="0" applyBorder="1" applyAlignment="1" applyProtection="1">
      <alignment horizontal="left" vertical="top" wrapText="1"/>
      <protection locked="0"/>
    </xf>
    <xf numFmtId="1" fontId="167" fillId="0" borderId="15" xfId="0" applyNumberFormat="1" applyFont="1" applyBorder="1" applyAlignment="1" applyProtection="1">
      <alignment horizontal="center" vertical="center" textRotation="90"/>
      <protection hidden="1"/>
    </xf>
    <xf numFmtId="1" fontId="167" fillId="0" borderId="16" xfId="0" applyNumberFormat="1" applyFont="1" applyBorder="1" applyAlignment="1" applyProtection="1">
      <alignment horizontal="center" vertical="center" textRotation="90"/>
      <protection hidden="1"/>
    </xf>
    <xf numFmtId="1" fontId="167" fillId="0" borderId="12" xfId="0" applyNumberFormat="1" applyFont="1" applyBorder="1" applyAlignment="1" applyProtection="1">
      <alignment horizontal="center" vertical="center" textRotation="90"/>
      <protection hidden="1"/>
    </xf>
    <xf numFmtId="14" fontId="106" fillId="0" borderId="0" xfId="0" applyNumberFormat="1" applyFont="1" applyAlignment="1" applyProtection="1">
      <alignment horizontal="right" vertical="center"/>
      <protection hidden="1"/>
    </xf>
    <xf numFmtId="0" fontId="233" fillId="0" borderId="1" xfId="0" applyFont="1" applyBorder="1" applyAlignment="1" applyProtection="1">
      <alignment horizontal="center"/>
      <protection hidden="1"/>
    </xf>
    <xf numFmtId="0" fontId="233" fillId="0" borderId="15" xfId="0" applyFont="1" applyBorder="1" applyAlignment="1" applyProtection="1">
      <alignment horizontal="center"/>
      <protection hidden="1"/>
    </xf>
    <xf numFmtId="0" fontId="2" fillId="12" borderId="0" xfId="0" applyFont="1" applyFill="1" applyAlignment="1" applyProtection="1">
      <alignment horizontal="left"/>
      <protection locked="0"/>
    </xf>
    <xf numFmtId="165" fontId="241" fillId="0" borderId="0" xfId="6" applyFont="1" applyAlignment="1" applyProtection="1">
      <alignment horizontal="left" vertical="center"/>
      <protection hidden="1"/>
    </xf>
    <xf numFmtId="14" fontId="11" fillId="0" borderId="0" xfId="0" applyNumberFormat="1" applyFont="1" applyAlignment="1" applyProtection="1">
      <alignment horizontal="center" vertical="center"/>
      <protection hidden="1"/>
    </xf>
    <xf numFmtId="165" fontId="13" fillId="0" borderId="27" xfId="0" applyNumberFormat="1" applyFont="1" applyBorder="1" applyAlignment="1" applyProtection="1">
      <alignment horizontal="center" vertical="center"/>
      <protection hidden="1"/>
    </xf>
    <xf numFmtId="165" fontId="13" fillId="0" borderId="18" xfId="0" applyNumberFormat="1" applyFont="1" applyBorder="1" applyAlignment="1" applyProtection="1">
      <alignment horizontal="center" vertical="center"/>
      <protection hidden="1"/>
    </xf>
    <xf numFmtId="165" fontId="13" fillId="0" borderId="25" xfId="0" applyNumberFormat="1" applyFont="1" applyBorder="1" applyAlignment="1" applyProtection="1">
      <alignment horizontal="center" vertical="center"/>
      <protection hidden="1"/>
    </xf>
    <xf numFmtId="0" fontId="13" fillId="0" borderId="1" xfId="0" applyFont="1" applyBorder="1" applyAlignment="1" applyProtection="1">
      <alignment horizontal="center" vertical="center"/>
      <protection hidden="1"/>
    </xf>
    <xf numFmtId="0" fontId="13" fillId="0" borderId="13" xfId="0" applyFont="1" applyBorder="1" applyAlignment="1" applyProtection="1">
      <alignment horizontal="center" vertical="center"/>
      <protection hidden="1"/>
    </xf>
    <xf numFmtId="0" fontId="13" fillId="0" borderId="15" xfId="0" applyFont="1" applyBorder="1" applyAlignment="1" applyProtection="1">
      <alignment horizontal="center" vertical="center"/>
      <protection hidden="1"/>
    </xf>
    <xf numFmtId="0" fontId="13" fillId="0" borderId="1" xfId="0" applyFont="1" applyBorder="1" applyAlignment="1" applyProtection="1">
      <alignment horizontal="center"/>
      <protection hidden="1"/>
    </xf>
    <xf numFmtId="0" fontId="13" fillId="0" borderId="13" xfId="0" applyFont="1" applyBorder="1" applyAlignment="1" applyProtection="1">
      <alignment horizontal="center"/>
      <protection hidden="1"/>
    </xf>
    <xf numFmtId="0" fontId="13" fillId="0" borderId="15" xfId="0" applyFont="1" applyBorder="1" applyAlignment="1" applyProtection="1">
      <alignment horizontal="center"/>
      <protection hidden="1"/>
    </xf>
    <xf numFmtId="0" fontId="126" fillId="0" borderId="1" xfId="0" applyFont="1" applyBorder="1" applyAlignment="1" applyProtection="1">
      <alignment horizontal="center"/>
      <protection hidden="1"/>
    </xf>
    <xf numFmtId="0" fontId="126" fillId="0" borderId="15" xfId="0" applyFont="1" applyBorder="1" applyAlignment="1" applyProtection="1">
      <alignment horizontal="center"/>
      <protection hidden="1"/>
    </xf>
    <xf numFmtId="3" fontId="15" fillId="0" borderId="4" xfId="0" applyNumberFormat="1" applyFont="1" applyBorder="1" applyAlignment="1" applyProtection="1">
      <alignment horizontal="right" vertical="center"/>
      <protection hidden="1"/>
    </xf>
    <xf numFmtId="3" fontId="15" fillId="0" borderId="5" xfId="0" applyNumberFormat="1" applyFont="1" applyBorder="1" applyAlignment="1" applyProtection="1">
      <alignment horizontal="right" vertical="center"/>
      <protection hidden="1"/>
    </xf>
    <xf numFmtId="0" fontId="97" fillId="0" borderId="14" xfId="0" applyFont="1" applyBorder="1" applyAlignment="1" applyProtection="1">
      <alignment horizontal="center" vertical="center"/>
      <protection hidden="1"/>
    </xf>
    <xf numFmtId="0" fontId="97" fillId="0" borderId="12" xfId="0" applyFont="1" applyBorder="1" applyAlignment="1" applyProtection="1">
      <alignment horizontal="center" vertical="center"/>
      <protection hidden="1"/>
    </xf>
    <xf numFmtId="9" fontId="106" fillId="0" borderId="183" xfId="3" applyFont="1" applyFill="1" applyBorder="1" applyAlignment="1" applyProtection="1">
      <alignment horizontal="center" vertical="center"/>
      <protection hidden="1"/>
    </xf>
    <xf numFmtId="9" fontId="106" fillId="0" borderId="99" xfId="3" applyFont="1" applyFill="1" applyBorder="1" applyAlignment="1" applyProtection="1">
      <alignment horizontal="center" vertical="center"/>
      <protection hidden="1"/>
    </xf>
    <xf numFmtId="0" fontId="97" fillId="0" borderId="2" xfId="0" applyFont="1" applyBorder="1" applyAlignment="1" applyProtection="1">
      <alignment horizontal="center"/>
      <protection hidden="1"/>
    </xf>
    <xf numFmtId="0" fontId="97" fillId="0" borderId="16" xfId="0" applyFont="1" applyBorder="1" applyAlignment="1" applyProtection="1">
      <alignment horizontal="center"/>
      <protection hidden="1"/>
    </xf>
    <xf numFmtId="0" fontId="13" fillId="0" borderId="1" xfId="0" applyFont="1" applyBorder="1" applyAlignment="1" applyProtection="1">
      <alignment horizontal="right" vertical="center"/>
      <protection hidden="1"/>
    </xf>
    <xf numFmtId="0" fontId="13" fillId="0" borderId="13" xfId="0" applyFont="1" applyBorder="1" applyAlignment="1" applyProtection="1">
      <alignment horizontal="right" vertical="center"/>
      <protection hidden="1"/>
    </xf>
    <xf numFmtId="0" fontId="97" fillId="0" borderId="11" xfId="0" applyFont="1" applyBorder="1" applyAlignment="1" applyProtection="1">
      <alignment horizontal="right" vertical="center"/>
      <protection hidden="1"/>
    </xf>
    <xf numFmtId="0" fontId="97" fillId="0" borderId="14" xfId="0" applyFont="1" applyBorder="1" applyAlignment="1" applyProtection="1">
      <alignment horizontal="right" vertical="center"/>
      <protection hidden="1"/>
    </xf>
    <xf numFmtId="3" fontId="27" fillId="3" borderId="106" xfId="0" applyNumberFormat="1" applyFont="1" applyFill="1" applyBorder="1" applyAlignment="1" applyProtection="1">
      <alignment horizontal="right" vertical="center"/>
      <protection locked="0"/>
    </xf>
    <xf numFmtId="3" fontId="27" fillId="3" borderId="183" xfId="0" applyNumberFormat="1" applyFont="1" applyFill="1" applyBorder="1" applyAlignment="1" applyProtection="1">
      <alignment horizontal="right" vertical="center"/>
      <protection locked="0"/>
    </xf>
    <xf numFmtId="3" fontId="27" fillId="3" borderId="138" xfId="0" applyNumberFormat="1" applyFont="1" applyFill="1" applyBorder="1" applyAlignment="1" applyProtection="1">
      <alignment horizontal="right" vertical="center"/>
      <protection locked="0"/>
    </xf>
    <xf numFmtId="3" fontId="27" fillId="3" borderId="187" xfId="0" applyNumberFormat="1" applyFont="1" applyFill="1" applyBorder="1" applyAlignment="1" applyProtection="1">
      <alignment horizontal="right" vertical="center"/>
      <protection locked="0"/>
    </xf>
    <xf numFmtId="0" fontId="132" fillId="0" borderId="2" xfId="0" quotePrefix="1" applyFont="1" applyBorder="1" applyAlignment="1" applyProtection="1">
      <alignment horizontal="center"/>
      <protection hidden="1"/>
    </xf>
    <xf numFmtId="0" fontId="132" fillId="0" borderId="16" xfId="0" applyFont="1" applyBorder="1" applyAlignment="1" applyProtection="1">
      <alignment horizontal="center"/>
      <protection hidden="1"/>
    </xf>
    <xf numFmtId="0" fontId="181" fillId="0" borderId="2" xfId="0" quotePrefix="1" applyFont="1" applyBorder="1" applyAlignment="1" applyProtection="1">
      <alignment horizontal="center"/>
      <protection hidden="1"/>
    </xf>
    <xf numFmtId="0" fontId="181" fillId="0" borderId="16" xfId="0" applyFont="1" applyBorder="1" applyAlignment="1" applyProtection="1">
      <alignment horizontal="center"/>
      <protection hidden="1"/>
    </xf>
    <xf numFmtId="0" fontId="11" fillId="0" borderId="0" xfId="0" applyFont="1" applyAlignment="1" applyProtection="1">
      <alignment horizontal="center"/>
      <protection hidden="1"/>
    </xf>
    <xf numFmtId="9" fontId="106" fillId="0" borderId="187" xfId="3" applyFont="1" applyFill="1" applyBorder="1" applyAlignment="1" applyProtection="1">
      <alignment horizontal="center" vertical="center"/>
      <protection hidden="1"/>
    </xf>
    <xf numFmtId="9" fontId="106" fillId="0" borderId="236" xfId="3" applyFont="1" applyFill="1" applyBorder="1" applyAlignment="1" applyProtection="1">
      <alignment horizontal="center" vertical="center"/>
      <protection hidden="1"/>
    </xf>
    <xf numFmtId="3" fontId="15" fillId="0" borderId="5" xfId="0" applyNumberFormat="1" applyFont="1" applyBorder="1" applyAlignment="1" applyProtection="1">
      <alignment vertical="center"/>
      <protection hidden="1"/>
    </xf>
    <xf numFmtId="3" fontId="15" fillId="0" borderId="17" xfId="0" applyNumberFormat="1" applyFont="1" applyBorder="1" applyAlignment="1" applyProtection="1">
      <alignment vertical="center"/>
      <protection hidden="1"/>
    </xf>
    <xf numFmtId="0" fontId="11" fillId="0" borderId="255" xfId="7" applyBorder="1" applyAlignment="1">
      <alignment horizontal="center" vertical="top"/>
    </xf>
    <xf numFmtId="0" fontId="11" fillId="0" borderId="255" xfId="7" applyBorder="1" applyAlignment="1">
      <alignment horizontal="center" vertical="center"/>
    </xf>
    <xf numFmtId="0" fontId="74" fillId="0" borderId="0" xfId="7" applyFont="1" applyAlignment="1">
      <alignment horizontal="center" vertical="top"/>
    </xf>
    <xf numFmtId="0" fontId="13" fillId="0" borderId="0" xfId="7" applyFont="1" applyAlignment="1">
      <alignment horizontal="center" vertical="center"/>
    </xf>
    <xf numFmtId="0" fontId="11" fillId="0" borderId="243" xfId="7" applyBorder="1" applyAlignment="1">
      <alignment horizontal="center" vertical="top"/>
    </xf>
    <xf numFmtId="0" fontId="97" fillId="0" borderId="2" xfId="5" applyFont="1" applyBorder="1" applyAlignment="1">
      <alignment horizontal="center" vertical="center"/>
    </xf>
    <xf numFmtId="0" fontId="97" fillId="0" borderId="0" xfId="5" applyFont="1" applyAlignment="1">
      <alignment horizontal="center" vertical="center"/>
    </xf>
    <xf numFmtId="0" fontId="97" fillId="0" borderId="136" xfId="5" applyFont="1" applyBorder="1" applyAlignment="1">
      <alignment horizontal="center" vertical="center"/>
    </xf>
    <xf numFmtId="0" fontId="106" fillId="0" borderId="0" xfId="5" applyFont="1" applyAlignment="1">
      <alignment horizontal="center" vertical="top"/>
    </xf>
  </cellXfs>
  <cellStyles count="9">
    <cellStyle name="Komma" xfId="2" builtinId="3"/>
    <cellStyle name="Link" xfId="1" builtinId="8"/>
    <cellStyle name="Prozent" xfId="3" builtinId="5"/>
    <cellStyle name="Prozent 2" xfId="8" xr:uid="{00000000-0005-0000-0000-000003000000}"/>
    <cellStyle name="Standard" xfId="0" builtinId="0"/>
    <cellStyle name="Standard 2" xfId="7" xr:uid="{00000000-0005-0000-0000-000005000000}"/>
    <cellStyle name="Standard_DüEinsatz" xfId="4" xr:uid="{00000000-0005-0000-0000-000006000000}"/>
    <cellStyle name="Standard_Hofdüngerrichtwerte" xfId="5" xr:uid="{00000000-0005-0000-0000-000007000000}"/>
    <cellStyle name="Standard_Suisse-Bilanz 20131" xfId="6" xr:uid="{00000000-0005-0000-0000-000008000000}"/>
  </cellStyles>
  <dxfs count="333">
    <dxf>
      <fill>
        <patternFill>
          <bgColor indexed="43"/>
        </patternFill>
      </fill>
    </dxf>
    <dxf>
      <fill>
        <patternFill>
          <bgColor indexed="13"/>
        </patternFill>
      </fill>
    </dxf>
    <dxf>
      <font>
        <color rgb="FFFF0000"/>
      </font>
    </dxf>
    <dxf>
      <numFmt numFmtId="166" formatCode="0.000"/>
    </dxf>
    <dxf>
      <font>
        <color rgb="FFFF0000"/>
      </font>
    </dxf>
    <dxf>
      <font>
        <b/>
        <i val="0"/>
        <color rgb="FFFF0000"/>
      </font>
      <fill>
        <patternFill>
          <bgColor rgb="FFFFFF00"/>
        </patternFill>
      </fill>
    </dxf>
    <dxf>
      <numFmt numFmtId="166" formatCode="0.000"/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ill>
        <patternFill patternType="none">
          <bgColor indexed="65"/>
        </patternFill>
      </fill>
      <border>
        <left/>
        <right/>
        <top/>
        <bottom/>
      </border>
    </dxf>
    <dxf>
      <fill>
        <patternFill patternType="none">
          <bgColor indexed="65"/>
        </patternFill>
      </fill>
      <border>
        <left/>
        <right/>
        <top/>
        <bottom/>
      </border>
    </dxf>
    <dxf>
      <fill>
        <patternFill patternType="none">
          <bgColor indexed="65"/>
        </patternFill>
      </fill>
      <border>
        <left/>
        <right/>
        <top/>
        <bottom/>
      </border>
    </dxf>
    <dxf>
      <fill>
        <patternFill patternType="none">
          <bgColor indexed="65"/>
        </patternFill>
      </fill>
      <border>
        <left/>
        <right/>
        <top/>
        <bottom/>
      </border>
    </dxf>
    <dxf>
      <fill>
        <patternFill patternType="none">
          <bgColor indexed="65"/>
        </patternFill>
      </fill>
      <border>
        <left/>
        <right/>
        <top/>
        <bottom/>
      </border>
    </dxf>
    <dxf>
      <fill>
        <patternFill patternType="none">
          <bgColor indexed="65"/>
        </patternFill>
      </fill>
      <border>
        <left/>
        <right/>
        <top/>
        <bottom/>
      </border>
    </dxf>
    <dxf>
      <border>
        <left/>
        <right/>
        <top/>
        <bottom/>
      </border>
    </dxf>
    <dxf>
      <font>
        <b/>
        <i val="0"/>
        <condense val="0"/>
        <extend val="0"/>
        <color indexed="12"/>
      </font>
    </dxf>
    <dxf>
      <fill>
        <patternFill patternType="none">
          <bgColor indexed="65"/>
        </patternFill>
      </fill>
      <border>
        <left/>
        <right/>
        <top/>
        <bottom/>
      </border>
    </dxf>
    <dxf>
      <fill>
        <patternFill patternType="none">
          <bgColor indexed="65"/>
        </patternFill>
      </fill>
      <border>
        <left/>
        <right/>
        <top/>
        <bottom/>
      </border>
    </dxf>
    <dxf>
      <fill>
        <patternFill patternType="none">
          <bgColor indexed="65"/>
        </patternFill>
      </fill>
      <border>
        <left/>
        <right/>
        <top/>
        <bottom/>
      </border>
    </dxf>
    <dxf>
      <border>
        <left/>
        <right/>
        <top/>
        <bottom/>
      </border>
    </dxf>
    <dxf>
      <fill>
        <patternFill patternType="none">
          <bgColor indexed="65"/>
        </patternFill>
      </fill>
      <border>
        <left/>
        <right/>
        <top/>
        <bottom/>
      </border>
    </dxf>
    <dxf>
      <fill>
        <patternFill patternType="none">
          <bgColor indexed="65"/>
        </patternFill>
      </fill>
      <border>
        <left/>
        <right/>
        <top/>
        <bottom/>
      </border>
    </dxf>
    <dxf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border>
        <left/>
        <right/>
        <top/>
        <bottom/>
      </border>
    </dxf>
    <dxf>
      <font>
        <b/>
        <i val="0"/>
        <condense val="0"/>
        <extend val="0"/>
        <color indexed="12"/>
      </font>
    </dxf>
    <dxf>
      <fill>
        <patternFill patternType="none">
          <bgColor indexed="65"/>
        </patternFill>
      </fill>
      <border>
        <left/>
        <right/>
        <top/>
        <bottom/>
      </border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hair">
          <color indexed="64"/>
        </left>
        <right style="hair">
          <color indexed="64"/>
        </right>
        <top/>
        <bottom/>
      </border>
    </dxf>
    <dxf>
      <border>
        <left style="hair">
          <color indexed="64"/>
        </left>
        <right style="hair">
          <color indexed="64"/>
        </right>
        <top/>
        <bottom/>
      </border>
    </dxf>
    <dxf>
      <font>
        <color rgb="FFFF0000"/>
      </font>
    </dxf>
    <dxf>
      <font>
        <b/>
        <i val="0"/>
      </font>
    </dxf>
    <dxf>
      <fill>
        <patternFill>
          <bgColor rgb="FFFFFFCC"/>
        </patternFill>
      </fill>
    </dxf>
    <dxf>
      <font>
        <color rgb="FFFF0000"/>
      </font>
    </dxf>
    <dxf>
      <font>
        <b/>
        <i val="0"/>
        <color theme="1"/>
      </font>
      <fill>
        <patternFill>
          <bgColor rgb="FFFFFFCC"/>
        </patternFill>
      </fill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font>
        <color rgb="FFFF0000"/>
      </font>
    </dxf>
    <dxf>
      <font>
        <color rgb="FFFF0000"/>
      </font>
    </dxf>
    <dxf>
      <font>
        <color theme="1"/>
      </font>
      <fill>
        <patternFill>
          <bgColor rgb="FFFFFFCC"/>
        </patternFill>
      </fill>
      <border>
        <top style="hair">
          <color indexed="64"/>
        </top>
        <bottom style="hair">
          <color indexed="64"/>
        </bottom>
      </border>
    </dxf>
    <dxf>
      <border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lor theme="1"/>
      </font>
      <fill>
        <patternFill patternType="solid"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color theme="1"/>
      </font>
      <fill>
        <patternFill>
          <bgColor rgb="FFFFFFCC"/>
        </patternFill>
      </fill>
      <border>
        <left style="hair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lor rgb="FFFF0000"/>
      </font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</dxf>
    <dxf>
      <font>
        <b/>
        <i val="0"/>
        <color rgb="FF009900"/>
      </font>
    </dxf>
    <dxf>
      <font>
        <color rgb="FFFF0000"/>
      </font>
    </dxf>
    <dxf>
      <font>
        <color rgb="FFFF00FF"/>
      </font>
    </dxf>
    <dxf>
      <font>
        <color rgb="FFFF0000"/>
      </font>
    </dxf>
    <dxf>
      <font>
        <color rgb="FFFF0000"/>
      </font>
    </dxf>
    <dxf>
      <fill>
        <patternFill>
          <bgColor rgb="FFFFFFCC"/>
        </patternFill>
      </fill>
    </dxf>
    <dxf>
      <font>
        <color rgb="FFFF0000"/>
      </font>
    </dxf>
    <dxf>
      <font>
        <color auto="1"/>
      </font>
      <fill>
        <patternFill>
          <bgColor rgb="FFFFFFCC"/>
        </patternFill>
      </fill>
      <border>
        <top style="hair">
          <color indexed="64"/>
        </top>
      </border>
    </dxf>
    <dxf>
      <font>
        <color rgb="FFFF0000"/>
      </font>
    </dxf>
    <dxf>
      <font>
        <color rgb="FFFF000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  <color theme="1"/>
      </font>
      <fill>
        <patternFill>
          <bgColor rgb="FFFFFFCC"/>
        </patternFill>
      </fill>
    </dxf>
    <dxf>
      <font>
        <b/>
        <i val="0"/>
        <color theme="1"/>
      </font>
      <fill>
        <patternFill>
          <bgColor rgb="FFFFFFCC"/>
        </patternFill>
      </fill>
    </dxf>
    <dxf>
      <font>
        <b/>
        <i val="0"/>
        <color theme="1"/>
      </font>
      <fill>
        <patternFill>
          <bgColor rgb="FFFFFFCC"/>
        </patternFill>
      </fill>
    </dxf>
    <dxf>
      <font>
        <b/>
        <i val="0"/>
        <color theme="1"/>
      </font>
      <fill>
        <patternFill>
          <bgColor rgb="FFFFFFCC"/>
        </patternFill>
      </fill>
    </dxf>
    <dxf>
      <font>
        <b/>
        <i val="0"/>
        <color theme="1"/>
      </font>
      <fill>
        <patternFill>
          <bgColor rgb="FFFFFFCC"/>
        </patternFill>
      </fill>
    </dxf>
    <dxf>
      <font>
        <b/>
        <i val="0"/>
        <color theme="1"/>
      </font>
      <fill>
        <patternFill>
          <bgColor rgb="FFFFFFCC"/>
        </patternFill>
      </fill>
    </dxf>
    <dxf>
      <font>
        <b/>
        <i val="0"/>
        <color rgb="FFFF0000"/>
      </font>
    </dxf>
    <dxf>
      <font>
        <color theme="0"/>
      </font>
    </dxf>
    <dxf>
      <fill>
        <patternFill>
          <bgColor rgb="FFFF5050"/>
        </patternFill>
      </fill>
    </dxf>
    <dxf>
      <fill>
        <patternFill>
          <bgColor rgb="FF99FFCC"/>
        </patternFill>
      </fill>
    </dxf>
    <dxf>
      <fill>
        <patternFill patternType="none">
          <bgColor indexed="65"/>
        </patternFill>
      </fill>
      <border>
        <left style="thin">
          <color rgb="FF33CC33"/>
        </left>
        <right style="thin">
          <color rgb="FF33CC33"/>
        </right>
        <top style="thin">
          <color rgb="FF33CC33"/>
        </top>
        <bottom style="thin">
          <color rgb="FF33CC33"/>
        </bottom>
      </border>
    </dxf>
    <dxf>
      <fill>
        <patternFill patternType="none">
          <bgColor indexed="65"/>
        </patternFill>
      </fill>
      <border>
        <left style="thin">
          <color rgb="FF33CC33"/>
        </left>
        <right style="thin">
          <color rgb="FF33CC33"/>
        </right>
        <top style="thin">
          <color rgb="FF33CC33"/>
        </top>
        <bottom style="thin">
          <color rgb="FF33CC33"/>
        </bottom>
      </border>
    </dxf>
    <dxf>
      <fill>
        <patternFill>
          <bgColor rgb="FFFF5050"/>
        </patternFill>
      </fill>
    </dxf>
    <dxf>
      <fill>
        <patternFill>
          <bgColor indexed="53"/>
        </patternFill>
      </fill>
    </dxf>
    <dxf>
      <fill>
        <patternFill>
          <bgColor indexed="50"/>
        </patternFill>
      </fill>
    </dxf>
    <dxf>
      <fill>
        <patternFill>
          <bgColor indexed="53"/>
        </patternFill>
      </fill>
    </dxf>
    <dxf>
      <fill>
        <patternFill>
          <bgColor indexed="50"/>
        </patternFill>
      </fill>
    </dxf>
    <dxf>
      <font>
        <b/>
        <i val="0"/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rgb="FFFFFFCC"/>
        </patternFill>
      </fill>
      <border>
        <top style="hair">
          <color indexed="64"/>
        </top>
        <bottom style="thin">
          <color indexed="64"/>
        </bottom>
      </border>
    </dxf>
    <dxf>
      <font>
        <color theme="1"/>
      </font>
      <fill>
        <patternFill>
          <bgColor rgb="FFFFFFCC"/>
        </patternFill>
      </fill>
      <border>
        <top style="hair">
          <color indexed="64"/>
        </top>
        <bottom style="hair">
          <color indexed="64"/>
        </bottom>
      </border>
    </dxf>
    <dxf>
      <font>
        <color theme="1"/>
      </font>
      <fill>
        <patternFill patternType="solid">
          <bgColor rgb="FFFFFFCC"/>
        </patternFill>
      </fill>
      <border>
        <right style="hair">
          <color indexed="64"/>
        </right>
        <top/>
        <bottom style="hair">
          <color indexed="64"/>
        </bottom>
      </border>
    </dxf>
    <dxf>
      <border>
        <left style="hair">
          <color indexed="64"/>
        </left>
        <right style="hair">
          <color indexed="64"/>
        </right>
        <top/>
        <bottom/>
      </border>
    </dxf>
    <dxf>
      <border>
        <left style="hair">
          <color indexed="64"/>
        </left>
        <right style="hair">
          <color indexed="64"/>
        </right>
        <top/>
        <bottom style="thin">
          <color indexed="64"/>
        </bottom>
      </border>
    </dxf>
    <dxf>
      <border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border>
        <left style="thin">
          <color indexed="64"/>
        </left>
        <right style="hair">
          <color indexed="64"/>
        </right>
        <top style="hair">
          <color indexed="64"/>
        </top>
        <bottom style="thin">
          <color indexed="64"/>
        </bottom>
      </border>
    </dxf>
    <dxf>
      <fill>
        <patternFill patternType="none">
          <bgColor indexed="65"/>
        </patternFill>
      </fill>
      <border>
        <left style="hair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color theme="1"/>
      </font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thin">
          <color indexed="64"/>
        </bottom>
      </border>
    </dxf>
    <dxf>
      <font>
        <color theme="1"/>
      </font>
      <fill>
        <patternFill>
          <bgColor rgb="FFFFFFCC"/>
        </patternFill>
      </fill>
      <border>
        <left style="hair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border>
        <left style="thin">
          <color indexed="64"/>
        </left>
        <right style="hair">
          <color indexed="64"/>
        </right>
        <top/>
        <bottom style="hair">
          <color indexed="64"/>
        </bottom>
      </border>
    </dxf>
    <dxf>
      <fill>
        <patternFill patternType="none">
          <bgColor indexed="65"/>
        </patternFill>
      </fill>
      <border>
        <left style="hair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>
        <right style="thin">
          <color indexed="64"/>
        </right>
        <bottom/>
      </border>
    </dxf>
    <dxf>
      <border>
        <right/>
        <bottom/>
      </border>
    </dxf>
    <dxf>
      <border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lor theme="1"/>
      </font>
      <fill>
        <patternFill patternType="solid"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color theme="1"/>
      </font>
      <fill>
        <patternFill>
          <bgColor rgb="FFFFFFCC"/>
        </patternFill>
      </fill>
      <border>
        <left style="hair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color rgb="FFFF0000"/>
      </font>
    </dxf>
    <dxf>
      <font>
        <b/>
        <i val="0"/>
        <color rgb="FF0099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border>
        <left style="thin">
          <color rgb="FFFF00FF"/>
        </left>
        <right style="thin">
          <color rgb="FFFF00FF"/>
        </right>
        <top style="thin">
          <color rgb="FFFF00FF"/>
        </top>
        <bottom style="thin">
          <color rgb="FFFF00FF"/>
        </bottom>
        <vertical/>
        <horizontal/>
      </border>
    </dxf>
    <dxf>
      <font>
        <b/>
        <i/>
        <color rgb="FFFF00FF"/>
      </font>
    </dxf>
    <dxf>
      <font>
        <b/>
        <i/>
        <color rgb="FFFF00FF"/>
      </font>
    </dxf>
    <dxf>
      <font>
        <b/>
        <i/>
        <strike val="0"/>
        <color rgb="FFFF00FF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FF"/>
      </font>
    </dxf>
    <dxf>
      <border>
        <left style="thin">
          <color rgb="FFFF00FF"/>
        </left>
        <right style="thin">
          <color rgb="FFFF00FF"/>
        </right>
        <top style="thin">
          <color rgb="FFFF00FF"/>
        </top>
        <bottom style="thin">
          <color rgb="FFFF00FF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FF0000"/>
      </font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border>
        <left style="thin">
          <color auto="1"/>
        </left>
        <vertical/>
        <horizontal/>
      </border>
    </dxf>
    <dxf>
      <border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 tint="-4.9989318521683403E-2"/>
        </patternFill>
      </fill>
    </dxf>
    <dxf>
      <fill>
        <patternFill>
          <bgColor rgb="FFEAEAEA"/>
        </patternFill>
      </fill>
    </dxf>
    <dxf>
      <font>
        <b val="0"/>
        <i val="0"/>
        <color rgb="FF9900CC"/>
      </font>
      <fill>
        <patternFill>
          <bgColor rgb="FFCC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lor rgb="FF9900CC"/>
      </font>
      <fill>
        <patternFill>
          <bgColor rgb="FFCC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CCFFCC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 val="0"/>
        <i val="0"/>
        <color rgb="FF9900CC"/>
      </font>
      <fill>
        <patternFill>
          <bgColor rgb="FFCC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CCFFCC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border>
        <top/>
        <bottom/>
      </border>
    </dxf>
    <dxf>
      <font>
        <b/>
        <i val="0"/>
        <color rgb="FFFF000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FF0000"/>
      </font>
    </dxf>
    <dxf>
      <font>
        <b val="0"/>
        <i val="0"/>
        <color rgb="FFFF0000"/>
      </font>
    </dxf>
    <dxf>
      <font>
        <color rgb="FF008000"/>
      </font>
    </dxf>
    <dxf>
      <font>
        <color rgb="FFFF0000"/>
      </font>
      <fill>
        <patternFill>
          <bgColor rgb="FFFFFFCC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/>
        <right style="thin">
          <color auto="1"/>
        </right>
        <top/>
        <bottom/>
        <vertical/>
        <horizontal/>
      </border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border>
        <left/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/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0000"/>
      </font>
      <border>
        <left style="thin">
          <color rgb="FFFF0000"/>
        </left>
        <right/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/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</dxf>
    <dxf>
      <numFmt numFmtId="2" formatCode="0.00"/>
    </dxf>
    <dxf>
      <numFmt numFmtId="165" formatCode="0.0"/>
    </dxf>
    <dxf>
      <font>
        <color rgb="FFFF0000"/>
      </font>
    </dxf>
    <dxf>
      <font>
        <color auto="1"/>
      </font>
    </dxf>
    <dxf>
      <font>
        <color rgb="FFFF0000"/>
      </font>
    </dxf>
    <dxf>
      <font>
        <b val="0"/>
        <i val="0"/>
        <color rgb="FFFF0000"/>
      </font>
    </dxf>
    <dxf>
      <font>
        <b/>
        <i val="0"/>
        <color rgb="FFFF0000"/>
      </font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FF"/>
      </font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00990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FF000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FF0000"/>
      </font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font>
        <color theme="1"/>
      </font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0000"/>
      </font>
    </dxf>
    <dxf>
      <font>
        <color rgb="FFFF0000"/>
      </font>
    </dxf>
    <dxf>
      <numFmt numFmtId="2" formatCode="0.00"/>
    </dxf>
    <dxf>
      <numFmt numFmtId="165" formatCode="0.0"/>
    </dxf>
    <dxf>
      <numFmt numFmtId="2" formatCode="0.00"/>
    </dxf>
    <dxf>
      <numFmt numFmtId="2" formatCode="0.00"/>
    </dxf>
    <dxf>
      <numFmt numFmtId="165" formatCode="0.0"/>
    </dxf>
    <dxf>
      <numFmt numFmtId="2" formatCode="0.00"/>
    </dxf>
    <dxf>
      <numFmt numFmtId="165" formatCode="0.0"/>
    </dxf>
    <dxf>
      <numFmt numFmtId="2" formatCode="0.00"/>
    </dxf>
    <dxf>
      <numFmt numFmtId="165" formatCode="0.0"/>
    </dxf>
    <dxf>
      <font>
        <condense val="0"/>
        <extend val="0"/>
        <color indexed="14"/>
      </font>
    </dxf>
    <dxf>
      <numFmt numFmtId="165" formatCode="0.0"/>
    </dxf>
    <dxf>
      <font>
        <color rgb="FFFF0000"/>
      </font>
    </dxf>
    <dxf>
      <font>
        <color rgb="FFFF0000"/>
      </font>
    </dxf>
    <dxf>
      <font>
        <color rgb="FFFF0000"/>
      </font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9900CC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CC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CCFFCC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FF000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</dxf>
    <dxf>
      <numFmt numFmtId="2" formatCode="0.00"/>
    </dxf>
    <dxf>
      <numFmt numFmtId="165" formatCode="0.0"/>
    </dxf>
    <dxf>
      <numFmt numFmtId="165" formatCode="0.0"/>
    </dxf>
    <dxf>
      <numFmt numFmtId="2" formatCode="0.00"/>
    </dxf>
    <dxf>
      <numFmt numFmtId="165" formatCode="0.0"/>
    </dxf>
    <dxf>
      <numFmt numFmtId="165" formatCode="0.0"/>
    </dxf>
    <dxf>
      <numFmt numFmtId="1" formatCode="0"/>
    </dxf>
    <dxf>
      <numFmt numFmtId="165" formatCode="0.0"/>
    </dxf>
    <dxf>
      <numFmt numFmtId="165" formatCode="0.0"/>
    </dxf>
    <dxf>
      <numFmt numFmtId="165" formatCode="0.0"/>
    </dxf>
    <dxf>
      <font>
        <b/>
        <i val="0"/>
        <condense val="0"/>
        <extend val="0"/>
        <color indexed="8"/>
      </font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color indexed="10"/>
      </font>
      <fill>
        <patternFill>
          <bgColor indexed="13"/>
        </patternFill>
      </fill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border>
        <bottom style="hair">
          <color indexed="64"/>
        </bottom>
      </border>
    </dxf>
    <dxf>
      <font>
        <b/>
        <i val="0"/>
        <color indexed="10"/>
      </font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border>
        <bottom style="hair">
          <color indexed="64"/>
        </bottom>
      </border>
    </dxf>
    <dxf>
      <font>
        <b/>
        <i val="0"/>
        <color indexed="10"/>
      </font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border>
        <left/>
        <right/>
        <top/>
        <bottom/>
      </border>
    </dxf>
    <dxf>
      <border>
        <bottom/>
      </border>
    </dxf>
    <dxf>
      <border>
        <bottom style="hair">
          <color indexed="64"/>
        </bottom>
      </border>
    </dxf>
    <dxf>
      <border>
        <left/>
        <right/>
        <top/>
        <bottom style="hair">
          <color indexed="64"/>
        </bottom>
      </border>
    </dxf>
    <dxf>
      <border>
        <left style="hair">
          <color indexed="64"/>
        </left>
        <right/>
        <top/>
        <bottom style="hair">
          <color indexed="64"/>
        </bottom>
      </border>
    </dxf>
    <dxf>
      <fill>
        <patternFill>
          <bgColor indexed="47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FF0000"/>
      </font>
    </dxf>
    <dxf>
      <font>
        <color rgb="FFFF0000"/>
      </font>
    </dxf>
    <dxf>
      <font>
        <b/>
        <i val="0"/>
        <color rgb="FFFF0000"/>
      </font>
    </dxf>
    <dxf>
      <fill>
        <patternFill patternType="none">
          <bgColor indexed="65"/>
        </patternFill>
      </fill>
    </dxf>
    <dxf>
      <border>
        <left style="hair">
          <color indexed="64"/>
        </left>
        <bottom style="hair">
          <color indexed="64"/>
        </bottom>
      </border>
    </dxf>
    <dxf>
      <border>
        <bottom style="hair">
          <color indexed="64"/>
        </bottom>
      </border>
    </dxf>
    <dxf>
      <border>
        <left style="hair">
          <color indexed="64"/>
        </left>
      </border>
    </dxf>
    <dxf>
      <font>
        <b/>
        <i val="0"/>
        <color rgb="FFFF0000"/>
      </font>
    </dxf>
    <dxf>
      <font>
        <color rgb="FF008000"/>
      </font>
    </dxf>
    <dxf>
      <font>
        <color rgb="FF993300"/>
      </font>
      <border>
        <left style="thin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color rgb="FF9C0006"/>
      </font>
      <fill>
        <patternFill>
          <bgColor rgb="FFFFC000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FF0000"/>
      </font>
    </dxf>
    <dxf>
      <font>
        <b/>
        <i/>
        <condense val="0"/>
        <extend val="0"/>
        <color indexed="12"/>
      </font>
    </dxf>
    <dxf>
      <font>
        <b/>
        <i val="0"/>
        <condense val="0"/>
        <extend val="0"/>
        <color indexed="10"/>
      </font>
      <fill>
        <patternFill>
          <bgColor indexed="13"/>
        </patternFill>
      </fill>
    </dxf>
    <dxf>
      <font>
        <condense val="0"/>
        <extend val="0"/>
        <color indexed="10"/>
      </font>
    </dxf>
    <dxf>
      <border>
        <left/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indexed="10"/>
      </font>
    </dxf>
    <dxf>
      <fill>
        <patternFill patternType="solid"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  <color rgb="FF008000"/>
      </font>
    </dxf>
    <dxf>
      <font>
        <b/>
        <i val="0"/>
        <color rgb="FFFF0000"/>
      </font>
    </dxf>
    <dxf>
      <font>
        <b/>
        <i val="0"/>
        <color rgb="FF008000"/>
      </font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 val="0"/>
        <color rgb="FFFF0000"/>
      </font>
    </dxf>
    <dxf>
      <font>
        <b/>
        <i val="0"/>
        <color rgb="FF008000"/>
      </font>
    </dxf>
    <dxf>
      <font>
        <b/>
        <i val="0"/>
        <color rgb="FFFF00FF"/>
      </font>
    </dxf>
    <dxf>
      <font>
        <b/>
        <i val="0"/>
        <color rgb="FF008000"/>
      </font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color rgb="FFFF0000"/>
      </font>
    </dxf>
    <dxf>
      <font>
        <b/>
        <i val="0"/>
        <color rgb="FF008000"/>
      </font>
    </dxf>
    <dxf>
      <font>
        <b/>
        <i val="0"/>
        <color rgb="FFFF0000"/>
      </font>
    </dxf>
    <dxf>
      <font>
        <b/>
        <i val="0"/>
        <color rgb="FF008000"/>
      </font>
    </dxf>
    <dxf>
      <font>
        <b/>
        <i val="0"/>
        <color rgb="FFFF0000"/>
      </font>
      <border>
        <left/>
      </border>
    </dxf>
    <dxf>
      <font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>
          <bgColor indexed="43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DDDDDD"/>
      <color rgb="FF33CC33"/>
      <color rgb="FFCCFFFF"/>
      <color rgb="FF99FF99"/>
      <color rgb="FFCCFFCC"/>
      <color rgb="FF66FF66"/>
      <color rgb="FF800000"/>
      <color rgb="FF0000FF"/>
      <color rgb="FF99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de-CH" sz="1600"/>
              <a:t>Stickstoff</a:t>
            </a:r>
            <a:r>
              <a:rPr lang="de-CH" sz="1600" baseline="0"/>
              <a:t> (Nverf, kg/Jahr)</a:t>
            </a:r>
            <a:endParaRPr lang="de-CH" sz="16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4103614259659714"/>
          <c:y val="0.10156864087641218"/>
          <c:w val="0.71301259258184213"/>
          <c:h val="0.79744585187721106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Grafik!$Q$5</c:f>
              <c:strCache>
                <c:ptCount val="1"/>
              </c:strCache>
            </c:strRef>
          </c:tx>
          <c:spPr>
            <a:solidFill>
              <a:srgbClr val="99FF99"/>
            </a:solidFill>
            <a:ln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Arial Narrow" panose="020B0506020202030204" pitchFamily="34" charset="0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Grafik!$N$4:$O$4</c:f>
              <c:strCache>
                <c:ptCount val="2"/>
                <c:pt idx="0">
                  <c:v>Bedarf</c:v>
                </c:pt>
                <c:pt idx="1">
                  <c:v>gedüngt</c:v>
                </c:pt>
              </c:strCache>
            </c:strRef>
          </c:cat>
          <c:val>
            <c:numRef>
              <c:f>Grafik!$N$5:$O$5</c:f>
              <c:numCache>
                <c:formatCode>0%</c:formatCode>
                <c:ptCount val="2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A9-489E-B5C4-8975315ED806}"/>
            </c:ext>
          </c:extLst>
        </c:ser>
        <c:ser>
          <c:idx val="2"/>
          <c:order val="1"/>
          <c:tx>
            <c:strRef>
              <c:f>Grafik!$Q$6</c:f>
              <c:strCache>
                <c:ptCount val="1"/>
              </c:strCache>
            </c:strRef>
          </c:tx>
          <c:spPr>
            <a:solidFill>
              <a:srgbClr val="CCFFCC"/>
            </a:solidFill>
            <a:ln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/>
              <a:lstStyle/>
              <a:p>
                <a:pPr>
                  <a:defRPr>
                    <a:latin typeface="Arial Narrow" panose="020B0506020202030204" pitchFamily="34" charset="0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Grafik!$N$4:$O$4</c:f>
              <c:strCache>
                <c:ptCount val="2"/>
                <c:pt idx="0">
                  <c:v>Bedarf</c:v>
                </c:pt>
                <c:pt idx="1">
                  <c:v>gedüngt</c:v>
                </c:pt>
              </c:strCache>
            </c:strRef>
          </c:cat>
          <c:val>
            <c:numRef>
              <c:f>Grafik!$N$6:$O$6</c:f>
              <c:numCache>
                <c:formatCode>0%</c:formatCode>
                <c:ptCount val="2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A9-489E-B5C4-8975315ED806}"/>
            </c:ext>
          </c:extLst>
        </c:ser>
        <c:ser>
          <c:idx val="3"/>
          <c:order val="2"/>
          <c:tx>
            <c:strRef>
              <c:f>Grafik!$Q$7</c:f>
              <c:strCache>
                <c:ptCount val="1"/>
              </c:strCache>
            </c:strRef>
          </c:tx>
          <c:spPr>
            <a:solidFill>
              <a:srgbClr val="CC9900"/>
            </a:solidFill>
            <a:ln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Arial Narrow" panose="020B0506020202030204" pitchFamily="34" charset="0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Grafik!$N$4:$O$4</c:f>
              <c:strCache>
                <c:ptCount val="2"/>
                <c:pt idx="0">
                  <c:v>Bedarf</c:v>
                </c:pt>
                <c:pt idx="1">
                  <c:v>gedüngt</c:v>
                </c:pt>
              </c:strCache>
            </c:strRef>
          </c:cat>
          <c:val>
            <c:numRef>
              <c:f>Grafik!$N$7:$O$7</c:f>
              <c:numCache>
                <c:formatCode>0%</c:formatCode>
                <c:ptCount val="2"/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A9-489E-B5C4-8975315ED806}"/>
            </c:ext>
          </c:extLst>
        </c:ser>
        <c:ser>
          <c:idx val="4"/>
          <c:order val="3"/>
          <c:tx>
            <c:strRef>
              <c:f>Grafik!$Q$8</c:f>
              <c:strCache>
                <c:ptCount val="1"/>
              </c:strCache>
            </c:strRef>
          </c:tx>
          <c:spPr>
            <a:solidFill>
              <a:srgbClr val="CCCC00"/>
            </a:solidFill>
            <a:ln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Grafik!$N$4:$O$4</c:f>
              <c:strCache>
                <c:ptCount val="2"/>
                <c:pt idx="0">
                  <c:v>Bedarf</c:v>
                </c:pt>
                <c:pt idx="1">
                  <c:v>gedüngt</c:v>
                </c:pt>
              </c:strCache>
            </c:strRef>
          </c:cat>
          <c:val>
            <c:numRef>
              <c:f>Grafik!$N$8:$O$8</c:f>
              <c:numCache>
                <c:formatCode>0%</c:formatCode>
                <c:ptCount val="2"/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A9-489E-B5C4-8975315ED806}"/>
            </c:ext>
          </c:extLst>
        </c:ser>
        <c:ser>
          <c:idx val="5"/>
          <c:order val="4"/>
          <c:tx>
            <c:strRef>
              <c:f>Grafik!$Q$9</c:f>
              <c:strCache>
                <c:ptCount val="1"/>
              </c:strCache>
            </c:strRef>
          </c:tx>
          <c:spPr>
            <a:solidFill>
              <a:srgbClr val="FFCC66"/>
            </a:solidFill>
            <a:ln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Arial Narrow" panose="020B0506020202030204" pitchFamily="34" charset="0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Grafik!$N$4:$O$4</c:f>
              <c:strCache>
                <c:ptCount val="2"/>
                <c:pt idx="0">
                  <c:v>Bedarf</c:v>
                </c:pt>
                <c:pt idx="1">
                  <c:v>gedüngt</c:v>
                </c:pt>
              </c:strCache>
            </c:strRef>
          </c:cat>
          <c:val>
            <c:numRef>
              <c:f>Grafik!$N$9:$O$9</c:f>
              <c:numCache>
                <c:formatCode>0%</c:formatCode>
                <c:ptCount val="2"/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AA9-489E-B5C4-8975315ED806}"/>
            </c:ext>
          </c:extLst>
        </c:ser>
        <c:ser>
          <c:idx val="6"/>
          <c:order val="5"/>
          <c:tx>
            <c:strRef>
              <c:f>Grafik!$Q$10</c:f>
              <c:strCache>
                <c:ptCount val="1"/>
              </c:strCache>
            </c:strRef>
          </c:tx>
          <c:spPr>
            <a:solidFill>
              <a:srgbClr val="FFFF99"/>
            </a:solidFill>
            <a:ln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Arial Narrow" panose="020B0506020202030204" pitchFamily="34" charset="0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Grafik!$N$4:$O$4</c:f>
              <c:strCache>
                <c:ptCount val="2"/>
                <c:pt idx="0">
                  <c:v>Bedarf</c:v>
                </c:pt>
                <c:pt idx="1">
                  <c:v>gedüngt</c:v>
                </c:pt>
              </c:strCache>
            </c:strRef>
          </c:cat>
          <c:val>
            <c:numRef>
              <c:f>Grafik!$N$10:$O$10</c:f>
              <c:numCache>
                <c:formatCode>0%</c:formatCode>
                <c:ptCount val="2"/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AA9-489E-B5C4-8975315ED806}"/>
            </c:ext>
          </c:extLst>
        </c:ser>
        <c:ser>
          <c:idx val="7"/>
          <c:order val="6"/>
          <c:tx>
            <c:strRef>
              <c:f>Grafik!$Q$11</c:f>
              <c:strCache>
                <c:ptCount val="1"/>
              </c:strCache>
            </c:strRef>
          </c:tx>
          <c:spPr>
            <a:solidFill>
              <a:srgbClr val="FFCCFF"/>
            </a:solidFill>
            <a:ln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Arial Narrow" panose="020B0506020202030204" pitchFamily="34" charset="0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Grafik!$N$4:$O$4</c:f>
              <c:strCache>
                <c:ptCount val="2"/>
                <c:pt idx="0">
                  <c:v>Bedarf</c:v>
                </c:pt>
                <c:pt idx="1">
                  <c:v>gedüngt</c:v>
                </c:pt>
              </c:strCache>
            </c:strRef>
          </c:cat>
          <c:val>
            <c:numRef>
              <c:f>Grafik!$N$11:$O$11</c:f>
              <c:numCache>
                <c:formatCode>0%</c:formatCode>
                <c:ptCount val="2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AA9-489E-B5C4-8975315ED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83244672"/>
        <c:axId val="183243136"/>
      </c:barChart>
      <c:lineChart>
        <c:grouping val="standard"/>
        <c:varyColors val="0"/>
        <c:ser>
          <c:idx val="8"/>
          <c:order val="7"/>
          <c:tx>
            <c:strRef>
              <c:f>Grafik!$Q$14</c:f>
              <c:strCache>
                <c:ptCount val="1"/>
                <c:pt idx="0">
                  <c:v>Limite</c:v>
                </c:pt>
              </c:strCache>
            </c:strRef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trendline>
            <c:spPr>
              <a:ln w="31750" cap="sq">
                <a:solidFill>
                  <a:srgbClr val="FF0000"/>
                </a:solidFill>
              </a:ln>
            </c:spPr>
            <c:trendlineType val="linear"/>
            <c:forward val="0.5"/>
            <c:backward val="0.5"/>
            <c:dispRSqr val="0"/>
            <c:dispEq val="0"/>
          </c:trendline>
          <c:cat>
            <c:strRef>
              <c:f>Grafik!$N$4:$O$4</c:f>
              <c:strCache>
                <c:ptCount val="2"/>
                <c:pt idx="0">
                  <c:v>Bedarf</c:v>
                </c:pt>
                <c:pt idx="1">
                  <c:v>gedüngt</c:v>
                </c:pt>
              </c:strCache>
            </c:strRef>
          </c:cat>
          <c:val>
            <c:numRef>
              <c:f>Grafik!$N$14:$O$14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AA9-489E-B5C4-8975315ED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286592"/>
        <c:axId val="180288128"/>
      </c:lineChart>
      <c:catAx>
        <c:axId val="180286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300" b="1" baseline="0"/>
            </a:pPr>
            <a:endParaRPr lang="de-DE"/>
          </a:p>
        </c:txPr>
        <c:crossAx val="180288128"/>
        <c:crosses val="autoZero"/>
        <c:auto val="1"/>
        <c:lblAlgn val="ctr"/>
        <c:lblOffset val="100"/>
        <c:noMultiLvlLbl val="0"/>
      </c:catAx>
      <c:valAx>
        <c:axId val="180288128"/>
        <c:scaling>
          <c:orientation val="minMax"/>
          <c:max val="1.29"/>
          <c:min val="0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80286592"/>
        <c:crosses val="autoZero"/>
        <c:crossBetween val="between"/>
        <c:majorUnit val="0.1"/>
      </c:valAx>
      <c:valAx>
        <c:axId val="183243136"/>
        <c:scaling>
          <c:orientation val="minMax"/>
          <c:max val="1.2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83244672"/>
        <c:crosses val="max"/>
        <c:crossBetween val="between"/>
        <c:majorUnit val="0.1"/>
      </c:valAx>
      <c:catAx>
        <c:axId val="183244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3243136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gap"/>
    <c:showDLblsOverMax val="0"/>
  </c:chart>
  <c:spPr>
    <a:ln w="25400">
      <a:solidFill>
        <a:srgbClr val="009900"/>
      </a:solidFill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de-CH" sz="1600"/>
              <a:t>Phosphor </a:t>
            </a:r>
            <a:r>
              <a:rPr lang="de-CH" sz="1600" baseline="0"/>
              <a:t>(P</a:t>
            </a:r>
            <a:r>
              <a:rPr lang="de-CH" sz="1600" baseline="-25000"/>
              <a:t>2</a:t>
            </a:r>
            <a:r>
              <a:rPr lang="de-CH" sz="1600" baseline="0"/>
              <a:t>O</a:t>
            </a:r>
            <a:r>
              <a:rPr lang="de-CH" sz="1600" baseline="-25000"/>
              <a:t>5</a:t>
            </a:r>
            <a:r>
              <a:rPr lang="de-CH" sz="1600" baseline="0"/>
              <a:t>, kg/Jahr)</a:t>
            </a:r>
            <a:endParaRPr lang="de-CH" sz="16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4465931758530184"/>
          <c:y val="0.10736574232568753"/>
          <c:w val="0.71087697195745259"/>
          <c:h val="0.7900059340408535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Grafik!$Q$29</c:f>
              <c:strCache>
                <c:ptCount val="1"/>
              </c:strCache>
            </c:strRef>
          </c:tx>
          <c:spPr>
            <a:solidFill>
              <a:srgbClr val="99FF99"/>
            </a:solidFill>
            <a:ln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Arial Narrow" panose="020B0506020202030204" pitchFamily="34" charset="0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Grafik!$N$4:$O$4</c:f>
              <c:strCache>
                <c:ptCount val="2"/>
                <c:pt idx="0">
                  <c:v>Bedarf</c:v>
                </c:pt>
                <c:pt idx="1">
                  <c:v>gedüngt</c:v>
                </c:pt>
              </c:strCache>
            </c:strRef>
          </c:cat>
          <c:val>
            <c:numRef>
              <c:f>Grafik!$N$29:$O$29</c:f>
              <c:numCache>
                <c:formatCode>0%</c:formatCode>
                <c:ptCount val="2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3C-462F-BF50-DBE571A4ACC8}"/>
            </c:ext>
          </c:extLst>
        </c:ser>
        <c:ser>
          <c:idx val="2"/>
          <c:order val="1"/>
          <c:tx>
            <c:strRef>
              <c:f>Grafik!$Q$30</c:f>
              <c:strCache>
                <c:ptCount val="1"/>
              </c:strCache>
            </c:strRef>
          </c:tx>
          <c:spPr>
            <a:solidFill>
              <a:srgbClr val="CCFFCC"/>
            </a:solidFill>
            <a:ln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Arial Narrow" panose="020B0506020202030204" pitchFamily="34" charset="0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Grafik!$N$4:$O$4</c:f>
              <c:strCache>
                <c:ptCount val="2"/>
                <c:pt idx="0">
                  <c:v>Bedarf</c:v>
                </c:pt>
                <c:pt idx="1">
                  <c:v>gedüngt</c:v>
                </c:pt>
              </c:strCache>
            </c:strRef>
          </c:cat>
          <c:val>
            <c:numRef>
              <c:f>Grafik!$N$30:$O$30</c:f>
              <c:numCache>
                <c:formatCode>0%</c:formatCode>
                <c:ptCount val="2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3C-462F-BF50-DBE571A4ACC8}"/>
            </c:ext>
          </c:extLst>
        </c:ser>
        <c:ser>
          <c:idx val="3"/>
          <c:order val="2"/>
          <c:tx>
            <c:strRef>
              <c:f>Grafik!$Q$31</c:f>
              <c:strCache>
                <c:ptCount val="1"/>
              </c:strCache>
            </c:strRef>
          </c:tx>
          <c:spPr>
            <a:solidFill>
              <a:srgbClr val="CC9900"/>
            </a:solidFill>
            <a:ln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Arial Narrow" panose="020B0506020202030204" pitchFamily="34" charset="0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Grafik!$N$4:$O$4</c:f>
              <c:strCache>
                <c:ptCount val="2"/>
                <c:pt idx="0">
                  <c:v>Bedarf</c:v>
                </c:pt>
                <c:pt idx="1">
                  <c:v>gedüngt</c:v>
                </c:pt>
              </c:strCache>
            </c:strRef>
          </c:cat>
          <c:val>
            <c:numRef>
              <c:f>Grafik!$N$31:$O$31</c:f>
              <c:numCache>
                <c:formatCode>0%</c:formatCode>
                <c:ptCount val="2"/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3C-462F-BF50-DBE571A4ACC8}"/>
            </c:ext>
          </c:extLst>
        </c:ser>
        <c:ser>
          <c:idx val="4"/>
          <c:order val="3"/>
          <c:tx>
            <c:strRef>
              <c:f>Grafik!$Q$32</c:f>
              <c:strCache>
                <c:ptCount val="1"/>
              </c:strCache>
            </c:strRef>
          </c:tx>
          <c:spPr>
            <a:solidFill>
              <a:srgbClr val="CCCC00"/>
            </a:solidFill>
            <a:ln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Grafik!$N$4:$O$4</c:f>
              <c:strCache>
                <c:ptCount val="2"/>
                <c:pt idx="0">
                  <c:v>Bedarf</c:v>
                </c:pt>
                <c:pt idx="1">
                  <c:v>gedüngt</c:v>
                </c:pt>
              </c:strCache>
            </c:strRef>
          </c:cat>
          <c:val>
            <c:numRef>
              <c:f>Grafik!$N$32:$O$32</c:f>
              <c:numCache>
                <c:formatCode>0%</c:formatCode>
                <c:ptCount val="2"/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3C-462F-BF50-DBE571A4ACC8}"/>
            </c:ext>
          </c:extLst>
        </c:ser>
        <c:ser>
          <c:idx val="5"/>
          <c:order val="4"/>
          <c:tx>
            <c:strRef>
              <c:f>Grafik!$Q$33</c:f>
              <c:strCache>
                <c:ptCount val="1"/>
              </c:strCache>
            </c:strRef>
          </c:tx>
          <c:spPr>
            <a:solidFill>
              <a:srgbClr val="FFCC66"/>
            </a:solidFill>
            <a:ln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Arial Narrow" panose="020B0506020202030204" pitchFamily="34" charset="0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Grafik!$N$4:$O$4</c:f>
              <c:strCache>
                <c:ptCount val="2"/>
                <c:pt idx="0">
                  <c:v>Bedarf</c:v>
                </c:pt>
                <c:pt idx="1">
                  <c:v>gedüngt</c:v>
                </c:pt>
              </c:strCache>
            </c:strRef>
          </c:cat>
          <c:val>
            <c:numRef>
              <c:f>Grafik!$N$33:$O$33</c:f>
              <c:numCache>
                <c:formatCode>0%</c:formatCode>
                <c:ptCount val="2"/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93C-462F-BF50-DBE571A4ACC8}"/>
            </c:ext>
          </c:extLst>
        </c:ser>
        <c:ser>
          <c:idx val="6"/>
          <c:order val="5"/>
          <c:tx>
            <c:strRef>
              <c:f>Grafik!$Q$34</c:f>
              <c:strCache>
                <c:ptCount val="1"/>
              </c:strCache>
            </c:strRef>
          </c:tx>
          <c:spPr>
            <a:solidFill>
              <a:srgbClr val="FFFF99"/>
            </a:solidFill>
            <a:ln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Arial Narrow" panose="020B0506020202030204" pitchFamily="34" charset="0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Grafik!$N$4:$O$4</c:f>
              <c:strCache>
                <c:ptCount val="2"/>
                <c:pt idx="0">
                  <c:v>Bedarf</c:v>
                </c:pt>
                <c:pt idx="1">
                  <c:v>gedüngt</c:v>
                </c:pt>
              </c:strCache>
            </c:strRef>
          </c:cat>
          <c:val>
            <c:numRef>
              <c:f>Grafik!$N$34:$O$34</c:f>
              <c:numCache>
                <c:formatCode>0%</c:formatCode>
                <c:ptCount val="2"/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93C-462F-BF50-DBE571A4ACC8}"/>
            </c:ext>
          </c:extLst>
        </c:ser>
        <c:ser>
          <c:idx val="7"/>
          <c:order val="6"/>
          <c:tx>
            <c:strRef>
              <c:f>Grafik!$Q$35</c:f>
              <c:strCache>
                <c:ptCount val="1"/>
              </c:strCache>
            </c:strRef>
          </c:tx>
          <c:spPr>
            <a:solidFill>
              <a:srgbClr val="FFCCFF"/>
            </a:solidFill>
            <a:ln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Arial Narrow" panose="020B0506020202030204" pitchFamily="34" charset="0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Grafik!$N$4:$O$4</c:f>
              <c:strCache>
                <c:ptCount val="2"/>
                <c:pt idx="0">
                  <c:v>Bedarf</c:v>
                </c:pt>
                <c:pt idx="1">
                  <c:v>gedüngt</c:v>
                </c:pt>
              </c:strCache>
            </c:strRef>
          </c:cat>
          <c:val>
            <c:numRef>
              <c:f>Grafik!$N$35:$O$35</c:f>
              <c:numCache>
                <c:formatCode>0%</c:formatCode>
                <c:ptCount val="2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93C-462F-BF50-DBE571A4A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83513856"/>
        <c:axId val="183512064"/>
      </c:barChart>
      <c:lineChart>
        <c:grouping val="standard"/>
        <c:varyColors val="0"/>
        <c:ser>
          <c:idx val="8"/>
          <c:order val="7"/>
          <c:tx>
            <c:strRef>
              <c:f>Grafik!$Q$38</c:f>
              <c:strCache>
                <c:ptCount val="1"/>
                <c:pt idx="0">
                  <c:v>Limite</c:v>
                </c:pt>
              </c:strCache>
            </c:strRef>
          </c:tx>
          <c:spPr>
            <a:ln w="31750" cap="sq">
              <a:solidFill>
                <a:srgbClr val="FF0000"/>
              </a:solidFill>
            </a:ln>
          </c:spPr>
          <c:marker>
            <c:symbol val="none"/>
          </c:marker>
          <c:trendline>
            <c:spPr>
              <a:ln w="31750" cap="sq">
                <a:solidFill>
                  <a:srgbClr val="FF0000"/>
                </a:solidFill>
              </a:ln>
            </c:spPr>
            <c:trendlineType val="linear"/>
            <c:forward val="0.5"/>
            <c:backward val="0.5"/>
            <c:dispRSqr val="0"/>
            <c:dispEq val="0"/>
          </c:trendline>
          <c:cat>
            <c:strRef>
              <c:f>Grafik!$N$28:$O$28</c:f>
              <c:strCache>
                <c:ptCount val="2"/>
                <c:pt idx="0">
                  <c:v>Bedarf</c:v>
                </c:pt>
                <c:pt idx="1">
                  <c:v>gedüngt</c:v>
                </c:pt>
              </c:strCache>
            </c:strRef>
          </c:cat>
          <c:val>
            <c:numRef>
              <c:f>Grafik!$N$38:$O$38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3C-462F-BF50-DBE571A4A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508992"/>
        <c:axId val="183510528"/>
      </c:lineChart>
      <c:catAx>
        <c:axId val="183508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300" b="1" baseline="0"/>
            </a:pPr>
            <a:endParaRPr lang="de-DE"/>
          </a:p>
        </c:txPr>
        <c:crossAx val="183510528"/>
        <c:crosses val="autoZero"/>
        <c:auto val="1"/>
        <c:lblAlgn val="ctr"/>
        <c:lblOffset val="100"/>
        <c:noMultiLvlLbl val="0"/>
      </c:catAx>
      <c:valAx>
        <c:axId val="183510528"/>
        <c:scaling>
          <c:orientation val="minMax"/>
          <c:max val="1.29"/>
          <c:min val="0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83508992"/>
        <c:crosses val="autoZero"/>
        <c:crossBetween val="between"/>
        <c:majorUnit val="0.1"/>
      </c:valAx>
      <c:valAx>
        <c:axId val="183512064"/>
        <c:scaling>
          <c:orientation val="minMax"/>
          <c:max val="1.2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83513856"/>
        <c:crosses val="max"/>
        <c:crossBetween val="between"/>
        <c:majorUnit val="0.1"/>
      </c:valAx>
      <c:catAx>
        <c:axId val="1835138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3512064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gap"/>
    <c:showDLblsOverMax val="0"/>
  </c:chart>
  <c:spPr>
    <a:ln w="25400">
      <a:solidFill>
        <a:srgbClr val="9966FF"/>
      </a:solidFill>
    </a:ln>
  </c:spPr>
  <c:printSettings>
    <c:headerFooter/>
    <c:pageMargins b="0.78740157499999996" l="0.7" r="0.7" t="0.78740157499999996" header="0.3" footer="0.3"/>
    <c:pageSetup orientation="portrait"/>
  </c:printSettings>
</c:chartSpace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31.xml><?xml version="1.0" encoding="utf-8"?>
<formControlPr xmlns="http://schemas.microsoft.com/office/spreadsheetml/2009/9/main" objectType="Button" lockText="1"/>
</file>

<file path=xl/ctrlProps/ctrlProp32.xml><?xml version="1.0" encoding="utf-8"?>
<formControlPr xmlns="http://schemas.microsoft.com/office/spreadsheetml/2009/9/main" objectType="Button" lockText="1"/>
</file>

<file path=xl/ctrlProps/ctrlProp33.xml><?xml version="1.0" encoding="utf-8"?>
<formControlPr xmlns="http://schemas.microsoft.com/office/spreadsheetml/2009/9/main" objectType="Button" lockText="1"/>
</file>

<file path=xl/ctrlProps/ctrlProp34.xml><?xml version="1.0" encoding="utf-8"?>
<formControlPr xmlns="http://schemas.microsoft.com/office/spreadsheetml/2009/9/main" objectType="Button" lockText="1"/>
</file>

<file path=xl/ctrlProps/ctrlProp35.xml><?xml version="1.0" encoding="utf-8"?>
<formControlPr xmlns="http://schemas.microsoft.com/office/spreadsheetml/2009/9/main" objectType="Button" lockText="1"/>
</file>

<file path=xl/ctrlProps/ctrlProp36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lw.admin.ch/themen/00006/00049/01163/index.html?lang=de#http://www.blw.admin.ch/themen/00006/00049/01163/index.html?lang=de" TargetMode="External"/><Relationship Id="rId2" Type="http://schemas.openxmlformats.org/officeDocument/2006/relationships/hyperlink" Target="http://www.agridea.ch/de/software" TargetMode="External"/><Relationship Id="rId1" Type="http://schemas.openxmlformats.org/officeDocument/2006/relationships/hyperlink" Target="https://www.blw.admin.ch/blw/de/home/instrumente/direktzahlungen/oekologischer-leistungsnachweis/ausgeglichene-duengerbilanz.html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blw.admin.ch/blw/de/home/instrumente/direktzahlungen/oekologischer-leistungsnachweis/ausgeglichene-duengerbilanz.html" TargetMode="External"/><Relationship Id="rId1" Type="http://schemas.openxmlformats.org/officeDocument/2006/relationships/hyperlink" Target="https://www.agridea.ch/de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145</xdr:row>
      <xdr:rowOff>118110</xdr:rowOff>
    </xdr:from>
    <xdr:to>
      <xdr:col>3</xdr:col>
      <xdr:colOff>323850</xdr:colOff>
      <xdr:row>148</xdr:row>
      <xdr:rowOff>43815</xdr:rowOff>
    </xdr:to>
    <xdr:sp macro="" textlink="">
      <xdr:nvSpPr>
        <xdr:cNvPr id="1031" name="Text 7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>
          <a:spLocks noChangeArrowheads="1"/>
        </xdr:cNvSpPr>
      </xdr:nvSpPr>
      <xdr:spPr bwMode="auto">
        <a:xfrm>
          <a:off x="514350" y="16649700"/>
          <a:ext cx="1266825" cy="25717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de-CH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Nährstoffbilanz</a:t>
          </a: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(F)</a:t>
          </a:r>
        </a:p>
      </xdr:txBody>
    </xdr:sp>
    <xdr:clientData/>
  </xdr:twoCellAnchor>
  <xdr:twoCellAnchor>
    <xdr:from>
      <xdr:col>1</xdr:col>
      <xdr:colOff>22568</xdr:colOff>
      <xdr:row>41</xdr:row>
      <xdr:rowOff>22860</xdr:rowOff>
    </xdr:from>
    <xdr:to>
      <xdr:col>11</xdr:col>
      <xdr:colOff>58470</xdr:colOff>
      <xdr:row>42</xdr:row>
      <xdr:rowOff>122460</xdr:rowOff>
    </xdr:to>
    <xdr:sp macro="" textlink="">
      <xdr:nvSpPr>
        <xdr:cNvPr id="1221" name="Text 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>
          <a:spLocks noChangeArrowheads="1"/>
        </xdr:cNvSpPr>
      </xdr:nvSpPr>
      <xdr:spPr bwMode="auto">
        <a:xfrm>
          <a:off x="601395" y="5202995"/>
          <a:ext cx="4051056" cy="25346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Berechnung der Grundfutterproduktion auf der Futterfläche </a:t>
          </a: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(B)</a:t>
          </a:r>
        </a:p>
      </xdr:txBody>
    </xdr:sp>
    <xdr:clientData/>
  </xdr:twoCellAnchor>
  <xdr:twoCellAnchor>
    <xdr:from>
      <xdr:col>1</xdr:col>
      <xdr:colOff>0</xdr:colOff>
      <xdr:row>12</xdr:row>
      <xdr:rowOff>41910</xdr:rowOff>
    </xdr:from>
    <xdr:to>
      <xdr:col>8</xdr:col>
      <xdr:colOff>333375</xdr:colOff>
      <xdr:row>13</xdr:row>
      <xdr:rowOff>118650</xdr:rowOff>
    </xdr:to>
    <xdr:sp macro="" textlink="">
      <xdr:nvSpPr>
        <xdr:cNvPr id="1222" name="Text 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>
          <a:spLocks noChangeArrowheads="1"/>
        </xdr:cNvSpPr>
      </xdr:nvSpPr>
      <xdr:spPr bwMode="auto">
        <a:xfrm>
          <a:off x="495300" y="2122170"/>
          <a:ext cx="3206115" cy="252000"/>
        </a:xfrm>
        <a:prstGeom prst="roundRect">
          <a:avLst>
            <a:gd name="adj" fmla="val 16667"/>
          </a:avLst>
        </a:prstGeom>
        <a:solidFill>
          <a:srgbClr val="99CC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de-CH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Nährstoffanfall und GF-Verzehr Tierhaltung  </a:t>
          </a: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(A)</a:t>
          </a:r>
        </a:p>
      </xdr:txBody>
    </xdr:sp>
    <xdr:clientData/>
  </xdr:twoCellAnchor>
  <xdr:twoCellAnchor>
    <xdr:from>
      <xdr:col>1</xdr:col>
      <xdr:colOff>7327</xdr:colOff>
      <xdr:row>55</xdr:row>
      <xdr:rowOff>40005</xdr:rowOff>
    </xdr:from>
    <xdr:to>
      <xdr:col>9</xdr:col>
      <xdr:colOff>359752</xdr:colOff>
      <xdr:row>56</xdr:row>
      <xdr:rowOff>139605</xdr:rowOff>
    </xdr:to>
    <xdr:sp macro="" textlink="">
      <xdr:nvSpPr>
        <xdr:cNvPr id="1223" name="Text 2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>
          <a:spLocks noChangeArrowheads="1"/>
        </xdr:cNvSpPr>
      </xdr:nvSpPr>
      <xdr:spPr bwMode="auto">
        <a:xfrm>
          <a:off x="586154" y="7286332"/>
          <a:ext cx="3605579" cy="25346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de-CH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Nährstoffbedarf für die Grundfutterproduktion  </a:t>
          </a: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(C1)</a:t>
          </a:r>
        </a:p>
      </xdr:txBody>
    </xdr:sp>
    <xdr:clientData/>
  </xdr:twoCellAnchor>
  <xdr:twoCellAnchor editAs="oneCell">
    <xdr:from>
      <xdr:col>1</xdr:col>
      <xdr:colOff>16853</xdr:colOff>
      <xdr:row>113</xdr:row>
      <xdr:rowOff>45866</xdr:rowOff>
    </xdr:from>
    <xdr:to>
      <xdr:col>9</xdr:col>
      <xdr:colOff>181709</xdr:colOff>
      <xdr:row>114</xdr:row>
      <xdr:rowOff>246577</xdr:rowOff>
    </xdr:to>
    <xdr:sp macro="" textlink="">
      <xdr:nvSpPr>
        <xdr:cNvPr id="1224" name="Text 6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>
          <a:spLocks noChangeArrowheads="1"/>
        </xdr:cNvSpPr>
      </xdr:nvSpPr>
      <xdr:spPr bwMode="auto">
        <a:xfrm>
          <a:off x="595680" y="14641097"/>
          <a:ext cx="3418010" cy="25200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de-CH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 Zufuhr(+) und Wegfuhr(-) von Nährstoffen</a:t>
          </a:r>
        </a:p>
      </xdr:txBody>
    </xdr:sp>
    <xdr:clientData/>
  </xdr:twoCellAnchor>
  <xdr:twoCellAnchor>
    <xdr:from>
      <xdr:col>1</xdr:col>
      <xdr:colOff>209550</xdr:colOff>
      <xdr:row>260</xdr:row>
      <xdr:rowOff>49822</xdr:rowOff>
    </xdr:from>
    <xdr:to>
      <xdr:col>15</xdr:col>
      <xdr:colOff>320040</xdr:colOff>
      <xdr:row>260</xdr:row>
      <xdr:rowOff>244513</xdr:rowOff>
    </xdr:to>
    <xdr:sp macro="" textlink="">
      <xdr:nvSpPr>
        <xdr:cNvPr id="1225" name="Text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 txBox="1">
          <a:spLocks noChangeArrowheads="1"/>
        </xdr:cNvSpPr>
      </xdr:nvSpPr>
      <xdr:spPr bwMode="auto">
        <a:xfrm>
          <a:off x="704850" y="33735644"/>
          <a:ext cx="5650230" cy="196215"/>
        </a:xfrm>
        <a:prstGeom prst="rect">
          <a:avLst/>
        </a:prstGeom>
        <a:solidFill>
          <a:schemeClr val="bg1">
            <a:lumMod val="8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Bei Gülle auf Grünland und unter optimalen Bedingungen ist die N-Verfügbarkeit höher als hier berechnet ! </a:t>
          </a:r>
        </a:p>
      </xdr:txBody>
    </xdr:sp>
    <xdr:clientData/>
  </xdr:twoCellAnchor>
  <xdr:twoCellAnchor>
    <xdr:from>
      <xdr:col>1</xdr:col>
      <xdr:colOff>1</xdr:colOff>
      <xdr:row>84</xdr:row>
      <xdr:rowOff>45720</xdr:rowOff>
    </xdr:from>
    <xdr:to>
      <xdr:col>10</xdr:col>
      <xdr:colOff>45721</xdr:colOff>
      <xdr:row>85</xdr:row>
      <xdr:rowOff>152400</xdr:rowOff>
    </xdr:to>
    <xdr:sp macro="" textlink="">
      <xdr:nvSpPr>
        <xdr:cNvPr id="1226" name="Text 5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>
          <a:spLocks noChangeArrowheads="1"/>
        </xdr:cNvSpPr>
      </xdr:nvSpPr>
      <xdr:spPr bwMode="auto">
        <a:xfrm>
          <a:off x="495301" y="11209020"/>
          <a:ext cx="3680460" cy="25146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de-CH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Nährstoffbedarf der Acker- und Spezialkulturen</a:t>
          </a: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(C2+C3)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352425</xdr:colOff>
          <xdr:row>92</xdr:row>
          <xdr:rowOff>142875</xdr:rowOff>
        </xdr:from>
        <xdr:to>
          <xdr:col>19</xdr:col>
          <xdr:colOff>8696</xdr:colOff>
          <xdr:row>96</xdr:row>
          <xdr:rowOff>95250</xdr:rowOff>
        </xdr:to>
        <xdr:sp macro="" textlink="">
          <xdr:nvSpPr>
            <xdr:cNvPr id="1039" name="Button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2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CH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Zeile </a:t>
              </a:r>
              <a:r>
                <a:rPr lang="de-CH" sz="1000" b="1" i="0" u="none" strike="noStrike" baseline="0">
                  <a:solidFill>
                    <a:srgbClr val="0000FF"/>
                  </a:solidFill>
                  <a:latin typeface="Arial"/>
                  <a:cs typeface="Arial"/>
                </a:rPr>
                <a:t>Gemüse</a:t>
              </a:r>
              <a:r>
                <a:rPr lang="de-CH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einfügen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352425</xdr:colOff>
          <xdr:row>96</xdr:row>
          <xdr:rowOff>142875</xdr:rowOff>
        </xdr:from>
        <xdr:to>
          <xdr:col>19</xdr:col>
          <xdr:colOff>18221</xdr:colOff>
          <xdr:row>100</xdr:row>
          <xdr:rowOff>85725</xdr:rowOff>
        </xdr:to>
        <xdr:sp macro="" textlink="">
          <xdr:nvSpPr>
            <xdr:cNvPr id="1040" name="Button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2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CH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Zeile </a:t>
              </a:r>
              <a:r>
                <a:rPr lang="de-CH" sz="1000" b="1" i="0" u="none" strike="noStrike" baseline="0">
                  <a:solidFill>
                    <a:srgbClr val="0000FF"/>
                  </a:solidFill>
                  <a:latin typeface="Arial"/>
                  <a:cs typeface="Arial"/>
                </a:rPr>
                <a:t>Dauerkult.</a:t>
              </a:r>
              <a:r>
                <a:rPr lang="de-CH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einfügen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361950</xdr:colOff>
          <xdr:row>100</xdr:row>
          <xdr:rowOff>123825</xdr:rowOff>
        </xdr:from>
        <xdr:to>
          <xdr:col>19</xdr:col>
          <xdr:colOff>27746</xdr:colOff>
          <xdr:row>104</xdr:row>
          <xdr:rowOff>57150</xdr:rowOff>
        </xdr:to>
        <xdr:sp macro="" textlink="">
          <xdr:nvSpPr>
            <xdr:cNvPr id="1041" name="Button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2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CH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Zeile </a:t>
              </a:r>
              <a:r>
                <a:rPr lang="de-CH" sz="1000" b="1" i="0" u="none" strike="noStrike" baseline="0">
                  <a:solidFill>
                    <a:srgbClr val="0000FF"/>
                  </a:solidFill>
                  <a:latin typeface="Arial"/>
                  <a:cs typeface="Arial"/>
                </a:rPr>
                <a:t>Zweitkult.</a:t>
              </a:r>
              <a:r>
                <a:rPr lang="de-CH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einfügen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124</xdr:row>
          <xdr:rowOff>152400</xdr:rowOff>
        </xdr:from>
        <xdr:to>
          <xdr:col>23</xdr:col>
          <xdr:colOff>323850</xdr:colOff>
          <xdr:row>129</xdr:row>
          <xdr:rowOff>47625</xdr:rowOff>
        </xdr:to>
        <xdr:sp macro="" textlink="">
          <xdr:nvSpPr>
            <xdr:cNvPr id="1042" name="Button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2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0" tIns="3600" rIns="0" bIns="0" anchor="ctr" upright="1"/>
            <a:lstStyle/>
            <a:p>
              <a:pPr algn="ctr" rtl="0">
                <a:defRPr sz="1000"/>
              </a:pPr>
              <a:r>
                <a:rPr lang="de-CH" sz="9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Zeile </a:t>
              </a:r>
              <a:r>
                <a:rPr lang="de-CH" sz="900" b="1" i="0" u="none" strike="noStrike" baseline="0">
                  <a:solidFill>
                    <a:srgbClr val="0000FF"/>
                  </a:solidFill>
                  <a:latin typeface="Arial"/>
                  <a:cs typeface="Arial"/>
                </a:rPr>
                <a:t>übrige Dünger</a:t>
              </a:r>
              <a:r>
                <a:rPr lang="de-CH" sz="9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einfügen</a:t>
              </a:r>
            </a:p>
          </xdr:txBody>
        </xdr:sp>
        <xdr:clientData fPrintsWithSheet="0"/>
      </xdr:twoCellAnchor>
    </mc:Choice>
    <mc:Fallback/>
  </mc:AlternateContent>
  <xdr:twoCellAnchor>
    <xdr:from>
      <xdr:col>1</xdr:col>
      <xdr:colOff>76200</xdr:colOff>
      <xdr:row>121</xdr:row>
      <xdr:rowOff>95250</xdr:rowOff>
    </xdr:from>
    <xdr:to>
      <xdr:col>4</xdr:col>
      <xdr:colOff>209550</xdr:colOff>
      <xdr:row>123</xdr:row>
      <xdr:rowOff>9525</xdr:rowOff>
    </xdr:to>
    <xdr:sp macro="" textlink="">
      <xdr:nvSpPr>
        <xdr:cNvPr id="1227" name="Text 26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>
          <a:spLocks noChangeArrowheads="1"/>
        </xdr:cNvSpPr>
      </xdr:nvSpPr>
      <xdr:spPr bwMode="auto">
        <a:xfrm>
          <a:off x="571500" y="15916275"/>
          <a:ext cx="1476375" cy="20002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18000" tIns="18000" rIns="0" bIns="3600" anchor="ctr" upright="1"/>
        <a:lstStyle/>
        <a:p>
          <a:pPr algn="l" rtl="0">
            <a:defRPr sz="1000"/>
          </a:pPr>
          <a:r>
            <a:rPr lang="de-CH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übrige Dünger </a:t>
          </a: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(D)</a:t>
          </a:r>
        </a:p>
      </xdr:txBody>
    </xdr:sp>
    <xdr:clientData/>
  </xdr:twoCellAnchor>
  <xdr:twoCellAnchor editAs="oneCell">
    <xdr:from>
      <xdr:col>1</xdr:col>
      <xdr:colOff>76200</xdr:colOff>
      <xdr:row>115</xdr:row>
      <xdr:rowOff>85725</xdr:rowOff>
    </xdr:from>
    <xdr:to>
      <xdr:col>4</xdr:col>
      <xdr:colOff>209550</xdr:colOff>
      <xdr:row>116</xdr:row>
      <xdr:rowOff>114301</xdr:rowOff>
    </xdr:to>
    <xdr:sp macro="" textlink="">
      <xdr:nvSpPr>
        <xdr:cNvPr id="1228" name="Text 27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>
          <a:spLocks noChangeArrowheads="1"/>
        </xdr:cNvSpPr>
      </xdr:nvSpPr>
      <xdr:spPr bwMode="auto">
        <a:xfrm>
          <a:off x="571500" y="15125700"/>
          <a:ext cx="1476375" cy="20002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18000" tIns="18000" rIns="0" bIns="3600" anchor="ctr" upright="1"/>
        <a:lstStyle/>
        <a:p>
          <a:pPr algn="l" rtl="0">
            <a:defRPr sz="1000"/>
          </a:pPr>
          <a:r>
            <a:rPr lang="de-CH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unvergärte Hofdünger</a:t>
          </a: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(A3)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352425</xdr:colOff>
          <xdr:row>88</xdr:row>
          <xdr:rowOff>95250</xdr:rowOff>
        </xdr:from>
        <xdr:to>
          <xdr:col>19</xdr:col>
          <xdr:colOff>8696</xdr:colOff>
          <xdr:row>91</xdr:row>
          <xdr:rowOff>38100</xdr:rowOff>
        </xdr:to>
        <xdr:sp macro="" textlink="">
          <xdr:nvSpPr>
            <xdr:cNvPr id="1052" name="Button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2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CH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Zeile </a:t>
              </a:r>
              <a:r>
                <a:rPr lang="de-CH" sz="1000" b="1" i="0" u="none" strike="noStrike" baseline="0">
                  <a:solidFill>
                    <a:srgbClr val="0000FF"/>
                  </a:solidFill>
                  <a:latin typeface="Arial"/>
                  <a:cs typeface="Arial"/>
                </a:rPr>
                <a:t>Acker</a:t>
              </a:r>
              <a:r>
                <a:rPr lang="de-CH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einfügen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95250</xdr:colOff>
          <xdr:row>114</xdr:row>
          <xdr:rowOff>209550</xdr:rowOff>
        </xdr:from>
        <xdr:to>
          <xdr:col>23</xdr:col>
          <xdr:colOff>400050</xdr:colOff>
          <xdr:row>116</xdr:row>
          <xdr:rowOff>142875</xdr:rowOff>
        </xdr:to>
        <xdr:sp macro="" textlink="">
          <xdr:nvSpPr>
            <xdr:cNvPr id="1053" name="Button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2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CH" sz="9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Zeile </a:t>
              </a:r>
              <a:r>
                <a:rPr lang="de-CH" sz="900" b="1" i="0" u="none" strike="noStrike" baseline="0">
                  <a:solidFill>
                    <a:srgbClr val="0000FF"/>
                  </a:solidFill>
                  <a:latin typeface="Arial"/>
                  <a:cs typeface="Arial"/>
                </a:rPr>
                <a:t>Hofdü.</a:t>
              </a:r>
              <a:r>
                <a:rPr lang="de-CH" sz="9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einfügen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179</xdr:row>
          <xdr:rowOff>9525</xdr:rowOff>
        </xdr:from>
        <xdr:to>
          <xdr:col>17</xdr:col>
          <xdr:colOff>28575</xdr:colOff>
          <xdr:row>181</xdr:row>
          <xdr:rowOff>28575</xdr:rowOff>
        </xdr:to>
        <xdr:sp macro="" textlink="">
          <xdr:nvSpPr>
            <xdr:cNvPr id="1058" name="Button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2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CH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Drucken</a:t>
              </a:r>
            </a:p>
            <a:p>
              <a:pPr algn="ctr" rtl="0">
                <a:defRPr sz="1000"/>
              </a:pPr>
              <a:r>
                <a:rPr lang="de-CH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Hinweis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152400</xdr:colOff>
          <xdr:row>171</xdr:row>
          <xdr:rowOff>38100</xdr:rowOff>
        </xdr:from>
        <xdr:to>
          <xdr:col>18</xdr:col>
          <xdr:colOff>1247775</xdr:colOff>
          <xdr:row>171</xdr:row>
          <xdr:rowOff>581025</xdr:rowOff>
        </xdr:to>
        <xdr:sp macro="" textlink="">
          <xdr:nvSpPr>
            <xdr:cNvPr id="1059" name="Button 35" descr="Drucken Nährstoffbilanz &#10;Seiten 1-2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2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CH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Drucken Nährstoffbilanz</a:t>
              </a:r>
            </a:p>
            <a:p>
              <a:pPr algn="ctr" rtl="0">
                <a:defRPr sz="1000"/>
              </a:pPr>
              <a:r>
                <a:rPr lang="de-CH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Seiten 1-2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263</xdr:row>
          <xdr:rowOff>190500</xdr:rowOff>
        </xdr:from>
        <xdr:to>
          <xdr:col>18</xdr:col>
          <xdr:colOff>457200</xdr:colOff>
          <xdr:row>265</xdr:row>
          <xdr:rowOff>142875</xdr:rowOff>
        </xdr:to>
        <xdr:sp macro="" textlink="">
          <xdr:nvSpPr>
            <xdr:cNvPr id="1060" name="Button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2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CH" sz="1000" b="1" i="0" u="none" strike="noStrike" baseline="0">
                  <a:solidFill>
                    <a:srgbClr val="000000"/>
                  </a:solidFill>
                  <a:latin typeface="Arial Narrow"/>
                </a:rPr>
                <a:t>Drucken</a:t>
              </a:r>
            </a:p>
            <a:p>
              <a:pPr algn="ctr" rtl="0">
                <a:defRPr sz="1000"/>
              </a:pPr>
              <a:r>
                <a:rPr lang="de-CH" sz="1000" b="1" i="0" u="none" strike="noStrike" baseline="0">
                  <a:solidFill>
                    <a:srgbClr val="000000"/>
                  </a:solidFill>
                  <a:latin typeface="Arial Narrow"/>
                </a:rPr>
                <a:t>Hofdüngeranfall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0</xdr:col>
      <xdr:colOff>183173</xdr:colOff>
      <xdr:row>38</xdr:row>
      <xdr:rowOff>51435</xdr:rowOff>
    </xdr:from>
    <xdr:to>
      <xdr:col>8</xdr:col>
      <xdr:colOff>201343</xdr:colOff>
      <xdr:row>41</xdr:row>
      <xdr:rowOff>15240</xdr:rowOff>
    </xdr:to>
    <xdr:sp macro="" textlink="">
      <xdr:nvSpPr>
        <xdr:cNvPr id="1231" name="Text Box 67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 txBox="1">
          <a:spLocks noChangeArrowheads="1"/>
        </xdr:cNvSpPr>
      </xdr:nvSpPr>
      <xdr:spPr bwMode="auto">
        <a:xfrm>
          <a:off x="183173" y="4901858"/>
          <a:ext cx="3469151" cy="293517"/>
        </a:xfrm>
        <a:prstGeom prst="rect">
          <a:avLst/>
        </a:prstGeom>
        <a:solidFill>
          <a:srgbClr val="FFCC00"/>
        </a:solidFill>
        <a:ln w="19050">
          <a:solidFill>
            <a:srgbClr xmlns:mc="http://schemas.openxmlformats.org/markup-compatibility/2006" xmlns:a14="http://schemas.microsoft.com/office/drawing/2010/main" val="FF00FF" mc:Ignorable="a14" a14:legacySpreadsheetColorIndex="14"/>
          </a:solidFill>
          <a:miter lim="800000"/>
          <a:headEnd/>
          <a:tailEnd/>
        </a:ln>
      </xdr:spPr>
      <xdr:txBody>
        <a:bodyPr vertOverflow="clip" wrap="square" lIns="18000" tIns="0" rIns="0" bIns="0" anchor="t" upright="1"/>
        <a:lstStyle/>
        <a:p>
          <a:pPr algn="ctr" rtl="0">
            <a:defRPr sz="1000"/>
          </a:pPr>
          <a:r>
            <a:rPr lang="de-CH" sz="900" b="1" i="1" u="none" strike="noStrike" baseline="0">
              <a:solidFill>
                <a:srgbClr val="0000FF"/>
              </a:solidFill>
              <a:latin typeface="Arial Narrow"/>
            </a:rPr>
            <a:t>Die Zu- und Wegfuhren von Grundfutter müssen lückenlos über  3 Jahre belegt werden (siehe Wegleitung Suisse-Bilanz  2.10 Grundfutter). </a:t>
          </a:r>
        </a:p>
      </xdr:txBody>
    </xdr:sp>
    <xdr:clientData fPrintsWithSheet="0"/>
  </xdr:twoCellAnchor>
  <xdr:twoCellAnchor>
    <xdr:from>
      <xdr:col>0</xdr:col>
      <xdr:colOff>57150</xdr:colOff>
      <xdr:row>42</xdr:row>
      <xdr:rowOff>66675</xdr:rowOff>
    </xdr:from>
    <xdr:to>
      <xdr:col>0</xdr:col>
      <xdr:colOff>523875</xdr:colOff>
      <xdr:row>52</xdr:row>
      <xdr:rowOff>85725</xdr:rowOff>
    </xdr:to>
    <xdr:grpSp>
      <xdr:nvGrpSpPr>
        <xdr:cNvPr id="47445" name="Group 193">
          <a:extLst>
            <a:ext uri="{FF2B5EF4-FFF2-40B4-BE49-F238E27FC236}">
              <a16:creationId xmlns:a16="http://schemas.microsoft.com/office/drawing/2014/main" id="{00000000-0008-0000-0200-000055B90000}"/>
            </a:ext>
          </a:extLst>
        </xdr:cNvPr>
        <xdr:cNvGrpSpPr>
          <a:grpSpLocks/>
        </xdr:cNvGrpSpPr>
      </xdr:nvGrpSpPr>
      <xdr:grpSpPr bwMode="auto">
        <a:xfrm>
          <a:off x="57150" y="5798240"/>
          <a:ext cx="466725" cy="1559615"/>
          <a:chOff x="0" y="503"/>
          <a:chExt cx="49" cy="183"/>
        </a:xfrm>
      </xdr:grpSpPr>
      <xdr:sp macro="" textlink="">
        <xdr:nvSpPr>
          <xdr:cNvPr id="1235" name="Text Box 32">
            <a:extLst>
              <a:ext uri="{FF2B5EF4-FFF2-40B4-BE49-F238E27FC236}">
                <a16:creationId xmlns:a16="http://schemas.microsoft.com/office/drawing/2014/main" id="{00000000-0008-0000-0200-0000D3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526"/>
            <a:ext cx="49" cy="160"/>
          </a:xfrm>
          <a:prstGeom prst="rect">
            <a:avLst/>
          </a:prstGeom>
          <a:solidFill>
            <a:schemeClr val="bg1">
              <a:lumMod val="85000"/>
            </a:schemeClr>
          </a:solidFill>
          <a:ln w="15875">
            <a:solidFill>
              <a:srgbClr xmlns:mc="http://schemas.openxmlformats.org/markup-compatibility/2006" xmlns:a14="http://schemas.microsoft.com/office/drawing/2010/main" val="FF00FF" mc:Ignorable="a14" a14:legacySpreadsheetColorIndex="14"/>
            </a:solidFill>
            <a:miter lim="800000"/>
            <a:headEnd/>
            <a:tailEnd/>
          </a:ln>
        </xdr:spPr>
        <xdr:txBody>
          <a:bodyPr vertOverflow="clip" wrap="square" lIns="18000" tIns="0" rIns="18000" bIns="0" anchor="t" upright="1"/>
          <a:lstStyle/>
          <a:p>
            <a:pPr algn="l" rtl="0">
              <a:defRPr sz="1000"/>
            </a:pPr>
            <a:r>
              <a:rPr lang="de-CH" sz="800" b="1" i="0" u="none" strike="noStrike" baseline="0">
                <a:solidFill>
                  <a:srgbClr val="0000FF"/>
                </a:solidFill>
                <a:latin typeface="Arial Narrow"/>
              </a:rPr>
              <a:t> GF-Zu-fuhren(+) als positive Werte </a:t>
            </a:r>
            <a:r>
              <a:rPr lang="de-CH" sz="800" b="0" i="0" u="none" strike="noStrike" baseline="0">
                <a:solidFill>
                  <a:srgbClr val="0000FF"/>
                </a:solidFill>
                <a:latin typeface="Arial Narrow"/>
              </a:rPr>
              <a:t>und </a:t>
            </a:r>
            <a:r>
              <a:rPr lang="de-CH" sz="800" b="1" i="0" u="none" strike="noStrike" baseline="0">
                <a:solidFill>
                  <a:srgbClr val="0000FF"/>
                </a:solidFill>
                <a:latin typeface="Arial Narrow"/>
              </a:rPr>
              <a:t>GF-Weg-fuhren ( - ) als negative Werte </a:t>
            </a:r>
            <a:r>
              <a:rPr lang="de-CH" sz="800" b="0" i="0" u="none" strike="noStrike" baseline="0">
                <a:solidFill>
                  <a:srgbClr val="0000FF"/>
                </a:solidFill>
                <a:latin typeface="Arial Narrow"/>
              </a:rPr>
              <a:t>eingeben</a:t>
            </a:r>
          </a:p>
        </xdr:txBody>
      </xdr:sp>
      <xdr:sp macro="" textlink="">
        <xdr:nvSpPr>
          <xdr:cNvPr id="47451" name="AutoShape 192">
            <a:extLst>
              <a:ext uri="{FF2B5EF4-FFF2-40B4-BE49-F238E27FC236}">
                <a16:creationId xmlns:a16="http://schemas.microsoft.com/office/drawing/2014/main" id="{00000000-0008-0000-0200-00005BB90000}"/>
              </a:ext>
            </a:extLst>
          </xdr:cNvPr>
          <xdr:cNvSpPr>
            <a:spLocks noChangeArrowheads="1"/>
          </xdr:cNvSpPr>
        </xdr:nvSpPr>
        <xdr:spPr bwMode="auto">
          <a:xfrm rot="2212194">
            <a:off x="31" y="503"/>
            <a:ext cx="12" cy="21"/>
          </a:xfrm>
          <a:prstGeom prst="downArrow">
            <a:avLst>
              <a:gd name="adj1" fmla="val 66667"/>
              <a:gd name="adj2" fmla="val 73686"/>
            </a:avLst>
          </a:prstGeom>
          <a:solidFill>
            <a:srgbClr xmlns:mc="http://schemas.openxmlformats.org/markup-compatibility/2006" xmlns:a14="http://schemas.microsoft.com/office/drawing/2010/main" val="FF00FF" mc:Ignorable="a14" a14:legacySpreadsheetColorIndex="14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76200</xdr:colOff>
          <xdr:row>62</xdr:row>
          <xdr:rowOff>19050</xdr:rowOff>
        </xdr:from>
        <xdr:to>
          <xdr:col>24</xdr:col>
          <xdr:colOff>161926</xdr:colOff>
          <xdr:row>66</xdr:row>
          <xdr:rowOff>76200</xdr:rowOff>
        </xdr:to>
        <xdr:sp macro="" textlink="">
          <xdr:nvSpPr>
            <xdr:cNvPr id="1293" name="Button 269" hidden="1">
              <a:extLst>
                <a:ext uri="{63B3BB69-23CF-44E3-9099-C40C66FF867C}">
                  <a14:compatExt spid="_x0000_s1293"/>
                </a:ext>
                <a:ext uri="{FF2B5EF4-FFF2-40B4-BE49-F238E27FC236}">
                  <a16:creationId xmlns:a16="http://schemas.microsoft.com/office/drawing/2014/main" id="{00000000-0008-0000-0200-00000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de-CH" sz="800" b="1" i="0" u="none" strike="noStrike" baseline="0">
                  <a:solidFill>
                    <a:srgbClr val="000000"/>
                  </a:solidFill>
                  <a:latin typeface="Arial Narrow"/>
                </a:rPr>
                <a:t>Zeilen </a:t>
              </a:r>
              <a:r>
                <a:rPr lang="de-CH" sz="800" b="1" i="0" u="none" strike="noStrike" baseline="0">
                  <a:solidFill>
                    <a:srgbClr val="0000FF"/>
                  </a:solidFill>
                  <a:latin typeface="Arial Narrow"/>
                </a:rPr>
                <a:t>Gras- + Leg.-Samenproduktion</a:t>
              </a:r>
              <a:r>
                <a:rPr lang="de-CH" sz="800" b="1" i="0" u="none" strike="noStrike" baseline="0">
                  <a:solidFill>
                    <a:srgbClr val="000000"/>
                  </a:solidFill>
                  <a:latin typeface="Arial Narrow"/>
                </a:rPr>
                <a:t> einfügen</a:t>
              </a:r>
            </a:p>
          </xdr:txBody>
        </xdr:sp>
        <xdr:clientData fPrintsWithSheet="0"/>
      </xdr:twoCellAnchor>
    </mc:Choice>
    <mc:Fallback/>
  </mc:AlternateContent>
  <xdr:twoCellAnchor>
    <xdr:from>
      <xdr:col>1</xdr:col>
      <xdr:colOff>66675</xdr:colOff>
      <xdr:row>130</xdr:row>
      <xdr:rowOff>76200</xdr:rowOff>
    </xdr:from>
    <xdr:to>
      <xdr:col>4</xdr:col>
      <xdr:colOff>200025</xdr:colOff>
      <xdr:row>131</xdr:row>
      <xdr:rowOff>123825</xdr:rowOff>
    </xdr:to>
    <xdr:sp macro="" textlink="">
      <xdr:nvSpPr>
        <xdr:cNvPr id="1329" name="Text 26">
          <a:extLst>
            <a:ext uri="{FF2B5EF4-FFF2-40B4-BE49-F238E27FC236}">
              <a16:creationId xmlns:a16="http://schemas.microsoft.com/office/drawing/2014/main" id="{00000000-0008-0000-0200-000031050000}"/>
            </a:ext>
          </a:extLst>
        </xdr:cNvPr>
        <xdr:cNvSpPr>
          <a:spLocks noChangeArrowheads="1"/>
        </xdr:cNvSpPr>
      </xdr:nvSpPr>
      <xdr:spPr bwMode="auto">
        <a:xfrm>
          <a:off x="561975" y="16821150"/>
          <a:ext cx="1476375" cy="20002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18000" tIns="18000" rIns="0" bIns="3600" anchor="ctr" upright="1"/>
        <a:lstStyle/>
        <a:p>
          <a:pPr algn="l" rtl="0">
            <a:defRPr sz="1000"/>
          </a:pPr>
          <a:r>
            <a:rPr lang="de-CH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Vergärungsprodukte </a:t>
          </a: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(E)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323850</xdr:colOff>
          <xdr:row>171</xdr:row>
          <xdr:rowOff>47625</xdr:rowOff>
        </xdr:from>
        <xdr:to>
          <xdr:col>23</xdr:col>
          <xdr:colOff>323850</xdr:colOff>
          <xdr:row>171</xdr:row>
          <xdr:rowOff>581025</xdr:rowOff>
        </xdr:to>
        <xdr:sp macro="" textlink="">
          <xdr:nvSpPr>
            <xdr:cNvPr id="1359" name="Button 335" hidden="1">
              <a:extLst>
                <a:ext uri="{63B3BB69-23CF-44E3-9099-C40C66FF867C}">
                  <a14:compatExt spid="_x0000_s1359"/>
                </a:ext>
                <a:ext uri="{FF2B5EF4-FFF2-40B4-BE49-F238E27FC236}">
                  <a16:creationId xmlns:a16="http://schemas.microsoft.com/office/drawing/2014/main" id="{00000000-0008-0000-0200-00004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de-CH" sz="800" b="1" i="0" u="none" strike="noStrike" baseline="0">
                  <a:solidFill>
                    <a:srgbClr val="000000"/>
                  </a:solidFill>
                  <a:latin typeface="Arial Narrow"/>
                </a:rPr>
                <a:t>Drucken, auf</a:t>
              </a:r>
            </a:p>
            <a:p>
              <a:pPr algn="ctr" rtl="0">
                <a:defRPr sz="1000"/>
              </a:pPr>
              <a:r>
                <a:rPr lang="de-CH" sz="800" b="1" i="0" u="none" strike="noStrike" baseline="0">
                  <a:solidFill>
                    <a:srgbClr val="000000"/>
                  </a:solidFill>
                  <a:latin typeface="Arial Narrow"/>
                </a:rPr>
                <a:t>3 Seiten verteilt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42</xdr:row>
          <xdr:rowOff>57150</xdr:rowOff>
        </xdr:from>
        <xdr:to>
          <xdr:col>23</xdr:col>
          <xdr:colOff>38100</xdr:colOff>
          <xdr:row>45</xdr:row>
          <xdr:rowOff>9525</xdr:rowOff>
        </xdr:to>
        <xdr:sp macro="" textlink="">
          <xdr:nvSpPr>
            <xdr:cNvPr id="1451" name="Button 427" hidden="1">
              <a:extLst>
                <a:ext uri="{63B3BB69-23CF-44E3-9099-C40C66FF867C}">
                  <a14:compatExt spid="_x0000_s1451"/>
                </a:ext>
                <a:ext uri="{FF2B5EF4-FFF2-40B4-BE49-F238E27FC236}">
                  <a16:creationId xmlns:a16="http://schemas.microsoft.com/office/drawing/2014/main" id="{00000000-0008-0000-0200-0000A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de-CH" sz="900" b="1" i="0" u="none" strike="noStrike" baseline="0">
                  <a:solidFill>
                    <a:srgbClr val="000000"/>
                  </a:solidFill>
                  <a:latin typeface="Arial Narrow"/>
                </a:rPr>
                <a:t>Zeile für </a:t>
              </a:r>
              <a:r>
                <a:rPr lang="de-CH" sz="900" b="1" i="0" u="none" strike="noStrike" baseline="0">
                  <a:solidFill>
                    <a:srgbClr val="0000FF"/>
                  </a:solidFill>
                  <a:latin typeface="Arial Narrow"/>
                </a:rPr>
                <a:t>Grundfutter</a:t>
              </a:r>
            </a:p>
            <a:p>
              <a:pPr algn="ctr" rtl="0">
                <a:defRPr sz="1000"/>
              </a:pPr>
              <a:r>
                <a:rPr lang="de-CH" sz="900" b="1" i="0" u="none" strike="noStrike" baseline="0">
                  <a:solidFill>
                    <a:srgbClr val="0000FF"/>
                  </a:solidFill>
                  <a:latin typeface="Arial Narrow"/>
                </a:rPr>
                <a:t>Zu-/Wegfuhr</a:t>
              </a:r>
              <a:r>
                <a:rPr lang="de-CH" sz="900" b="1" i="0" u="none" strike="noStrike" baseline="0">
                  <a:solidFill>
                    <a:srgbClr val="000000"/>
                  </a:solidFill>
                  <a:latin typeface="Arial Narrow"/>
                </a:rPr>
                <a:t> einfügen</a:t>
              </a:r>
            </a:p>
          </xdr:txBody>
        </xdr:sp>
        <xdr:clientData fPrintsWithSheet="0"/>
      </xdr:twoCellAnchor>
    </mc:Choice>
    <mc:Fallback/>
  </mc:AlternateContent>
  <xdr:oneCellAnchor>
    <xdr:from>
      <xdr:col>21</xdr:col>
      <xdr:colOff>263766</xdr:colOff>
      <xdr:row>0</xdr:row>
      <xdr:rowOff>38606</xdr:rowOff>
    </xdr:from>
    <xdr:ext cx="2798890" cy="181202"/>
    <xdr:sp macro="" textlink="">
      <xdr:nvSpPr>
        <xdr:cNvPr id="57" name="Text 31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>
          <a:spLocks noChangeArrowheads="1"/>
        </xdr:cNvSpPr>
      </xdr:nvSpPr>
      <xdr:spPr bwMode="auto">
        <a:xfrm>
          <a:off x="8535862" y="38606"/>
          <a:ext cx="2798890" cy="181202"/>
        </a:xfrm>
        <a:prstGeom prst="roundRect">
          <a:avLst>
            <a:gd name="adj" fmla="val 16667"/>
          </a:avLst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18000" tIns="7200" rIns="28800" bIns="3600" anchor="ctr" upright="1">
          <a:spAutoFit/>
        </a:bodyPr>
        <a:lstStyle/>
        <a:p>
          <a:pPr algn="ctr" rtl="0">
            <a:defRPr sz="1000"/>
          </a:pPr>
          <a:r>
            <a:rPr lang="de-CH" sz="1000" b="1" i="1" u="none" strike="noStrike" baseline="0">
              <a:solidFill>
                <a:srgbClr val="FF0000"/>
              </a:solidFill>
              <a:latin typeface="Arial"/>
              <a:cs typeface="Arial"/>
            </a:rPr>
            <a:t>                     Kurz - Anleitung beachten  --&gt;</a:t>
          </a:r>
        </a:p>
      </xdr:txBody>
    </xdr:sp>
    <xdr:clientData fPrintsWithSheet="0"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428625</xdr:colOff>
          <xdr:row>124</xdr:row>
          <xdr:rowOff>152400</xdr:rowOff>
        </xdr:from>
        <xdr:to>
          <xdr:col>24</xdr:col>
          <xdr:colOff>590551</xdr:colOff>
          <xdr:row>129</xdr:row>
          <xdr:rowOff>47625</xdr:rowOff>
        </xdr:to>
        <xdr:sp macro="" textlink="">
          <xdr:nvSpPr>
            <xdr:cNvPr id="43096" name="Button 19544" hidden="1">
              <a:extLst>
                <a:ext uri="{63B3BB69-23CF-44E3-9099-C40C66FF867C}">
                  <a14:compatExt spid="_x0000_s43096"/>
                </a:ext>
                <a:ext uri="{FF2B5EF4-FFF2-40B4-BE49-F238E27FC236}">
                  <a16:creationId xmlns:a16="http://schemas.microsoft.com/office/drawing/2014/main" id="{00000000-0008-0000-0200-000058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0" tIns="3600" rIns="0" bIns="0" anchor="ctr" upright="1"/>
            <a:lstStyle/>
            <a:p>
              <a:pPr algn="ctr" rtl="0">
                <a:defRPr sz="1000"/>
              </a:pPr>
              <a:r>
                <a:rPr lang="de-CH" sz="900" b="1" i="0" u="none" strike="noStrike" baseline="0">
                  <a:solidFill>
                    <a:srgbClr val="000000"/>
                  </a:solidFill>
                  <a:latin typeface="Arial Narrow"/>
                </a:rPr>
                <a:t>Zeile </a:t>
              </a:r>
              <a:r>
                <a:rPr lang="de-CH" sz="900" b="1" i="0" u="none" strike="noStrike" baseline="0">
                  <a:solidFill>
                    <a:srgbClr val="0000FF"/>
                  </a:solidFill>
                  <a:latin typeface="Arial Narrow"/>
                </a:rPr>
                <a:t>Kompost</a:t>
              </a:r>
              <a:r>
                <a:rPr lang="de-CH" sz="900" b="1" i="0" u="none" strike="noStrike" baseline="0">
                  <a:solidFill>
                    <a:srgbClr val="000000"/>
                  </a:solidFill>
                  <a:latin typeface="Arial Narrow"/>
                </a:rPr>
                <a:t> einfügen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676275</xdr:colOff>
          <xdr:row>124</xdr:row>
          <xdr:rowOff>152400</xdr:rowOff>
        </xdr:from>
        <xdr:to>
          <xdr:col>25</xdr:col>
          <xdr:colOff>47625</xdr:colOff>
          <xdr:row>129</xdr:row>
          <xdr:rowOff>47625</xdr:rowOff>
        </xdr:to>
        <xdr:sp macro="" textlink="">
          <xdr:nvSpPr>
            <xdr:cNvPr id="43097" name="Button 19545" hidden="1">
              <a:extLst>
                <a:ext uri="{63B3BB69-23CF-44E3-9099-C40C66FF867C}">
                  <a14:compatExt spid="_x0000_s43097"/>
                </a:ext>
                <a:ext uri="{FF2B5EF4-FFF2-40B4-BE49-F238E27FC236}">
                  <a16:creationId xmlns:a16="http://schemas.microsoft.com/office/drawing/2014/main" id="{00000000-0008-0000-0200-000059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0" tIns="0" rIns="0" bIns="0" anchor="ctr" upright="1"/>
            <a:lstStyle/>
            <a:p>
              <a:pPr algn="ctr" rtl="0">
                <a:defRPr sz="1000"/>
              </a:pPr>
              <a:r>
                <a:rPr lang="de-CH" sz="800" b="0" i="0" u="none" strike="noStrike" baseline="0">
                  <a:solidFill>
                    <a:srgbClr val="800080"/>
                  </a:solidFill>
                  <a:latin typeface="Arial Narrow"/>
                </a:rPr>
                <a:t>BIO: Zeile org. Handelsdünger einfügen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58</xdr:row>
          <xdr:rowOff>9525</xdr:rowOff>
        </xdr:from>
        <xdr:to>
          <xdr:col>24</xdr:col>
          <xdr:colOff>152401</xdr:colOff>
          <xdr:row>59</xdr:row>
          <xdr:rowOff>142875</xdr:rowOff>
        </xdr:to>
        <xdr:sp macro="" textlink="">
          <xdr:nvSpPr>
            <xdr:cNvPr id="43107" name="Button 19555" hidden="1">
              <a:extLst>
                <a:ext uri="{63B3BB69-23CF-44E3-9099-C40C66FF867C}">
                  <a14:compatExt spid="_x0000_s43107"/>
                </a:ext>
                <a:ext uri="{FF2B5EF4-FFF2-40B4-BE49-F238E27FC236}">
                  <a16:creationId xmlns:a16="http://schemas.microsoft.com/office/drawing/2014/main" id="{00000000-0008-0000-0200-000063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de-CH" sz="800" b="1" i="0" u="none" strike="noStrike" baseline="0">
                  <a:solidFill>
                    <a:srgbClr val="000000"/>
                  </a:solidFill>
                  <a:latin typeface="Arial Narrow"/>
                </a:rPr>
                <a:t>Zeilen </a:t>
              </a:r>
              <a:r>
                <a:rPr lang="de-CH" sz="800" b="1" i="0" u="none" strike="noStrike" baseline="0">
                  <a:solidFill>
                    <a:srgbClr val="0000FF"/>
                  </a:solidFill>
                  <a:latin typeface="Arial Narrow"/>
                </a:rPr>
                <a:t>Getreide-Silage</a:t>
              </a:r>
              <a:r>
                <a:rPr lang="de-CH" sz="800" b="1" i="0" u="none" strike="noStrike" baseline="0">
                  <a:solidFill>
                    <a:srgbClr val="000000"/>
                  </a:solidFill>
                  <a:latin typeface="Arial Narrow"/>
                </a:rPr>
                <a:t> einfügen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0</xdr:col>
      <xdr:colOff>333375</xdr:colOff>
      <xdr:row>0</xdr:row>
      <xdr:rowOff>43960</xdr:rowOff>
    </xdr:from>
    <xdr:to>
      <xdr:col>18</xdr:col>
      <xdr:colOff>183173</xdr:colOff>
      <xdr:row>0</xdr:row>
      <xdr:rowOff>367960</xdr:rowOff>
    </xdr:to>
    <xdr:sp macro="" textlink="">
      <xdr:nvSpPr>
        <xdr:cNvPr id="46" name="Text 31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>
          <a:spLocks noChangeArrowheads="1"/>
        </xdr:cNvSpPr>
      </xdr:nvSpPr>
      <xdr:spPr bwMode="auto">
        <a:xfrm>
          <a:off x="333375" y="43960"/>
          <a:ext cx="6964973" cy="324000"/>
        </a:xfrm>
        <a:prstGeom prst="roundRect">
          <a:avLst>
            <a:gd name="adj" fmla="val 16667"/>
          </a:avLst>
        </a:prstGeom>
        <a:solidFill>
          <a:schemeClr val="bg1">
            <a:lumMod val="8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18000" tIns="7200" rIns="0" bIns="3600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de-CH" sz="1600" b="1" i="0" u="none" strike="noStrike" kern="0" cap="none" spc="0" normalizeH="0" baseline="0" noProof="0">
              <a:ln w="635">
                <a:solidFill>
                  <a:schemeClr val="tx1"/>
                </a:solidFill>
              </a:ln>
              <a:solidFill>
                <a:srgbClr val="FF9900"/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 Die Suisse-Bilanz auf 2 Seiten </a:t>
          </a:r>
          <a:r>
            <a:rPr kumimoji="0" lang="de-CH" sz="1400" b="1" i="0" u="none" strike="noStrike" kern="0" cap="none" spc="0" normalizeH="0" baseline="0" noProof="0">
              <a:ln w="635">
                <a:solidFill>
                  <a:schemeClr val="tx1"/>
                </a:solidFill>
              </a:ln>
              <a:solidFill>
                <a:srgbClr val="FF9900"/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    </a:t>
          </a:r>
          <a:r>
            <a:rPr kumimoji="0" lang="de-CH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/>
            </a:rPr>
            <a:t>ab Excel 2010 </a:t>
          </a:r>
          <a:r>
            <a:rPr lang="de-CH" sz="900" b="1" i="0" baseline="0">
              <a:effectLst/>
              <a:latin typeface="Arial Narrow" panose="020B0506020202030204" pitchFamily="34" charset="0"/>
              <a:ea typeface="+mn-ea"/>
              <a:cs typeface="+mn-cs"/>
            </a:rPr>
            <a:t> </a:t>
          </a:r>
          <a:r>
            <a:rPr lang="de-CH" sz="900" b="1" i="0" baseline="0">
              <a:solidFill>
                <a:sysClr val="windowText" lastClr="000000"/>
              </a:solidFill>
              <a:effectLst/>
              <a:latin typeface="Arial Narrow" panose="020B0506020202030204" pitchFamily="34" charset="0"/>
              <a:ea typeface="+mn-ea"/>
              <a:cs typeface="+mn-cs"/>
            </a:rPr>
            <a:t>            </a:t>
          </a:r>
          <a:r>
            <a:rPr lang="de-CH" sz="800" b="0" i="1" baseline="0">
              <a:solidFill>
                <a:sysClr val="windowText" lastClr="000000"/>
              </a:solidFill>
              <a:effectLst/>
              <a:latin typeface="Arial Narrow" panose="020B0506020202030204" pitchFamily="34" charset="0"/>
              <a:ea typeface="+mn-ea"/>
              <a:cs typeface="+mn-cs"/>
            </a:rPr>
            <a:t>&gt; Excel ersetzt den Taschenrechner, nicht aber das Selber-denken.</a:t>
          </a:r>
          <a:endParaRPr kumimoji="0" lang="de-CH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 Narrow" panose="020B0506020202030204" pitchFamily="34" charset="0"/>
          </a:endParaRPr>
        </a:p>
      </xdr:txBody>
    </xdr:sp>
    <xdr:clientData fPrintsWithSheet="0"/>
  </xdr:twoCellAnchor>
  <xdr:oneCellAnchor>
    <xdr:from>
      <xdr:col>20</xdr:col>
      <xdr:colOff>21980</xdr:colOff>
      <xdr:row>0</xdr:row>
      <xdr:rowOff>281187</xdr:rowOff>
    </xdr:from>
    <xdr:ext cx="3282461" cy="1565198"/>
    <xdr:sp macro="" textlink="">
      <xdr:nvSpPr>
        <xdr:cNvPr id="44" name="Text 31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>
          <a:spLocks noChangeArrowheads="1"/>
        </xdr:cNvSpPr>
      </xdr:nvSpPr>
      <xdr:spPr bwMode="auto">
        <a:xfrm>
          <a:off x="7913076" y="281187"/>
          <a:ext cx="3282461" cy="1565198"/>
        </a:xfrm>
        <a:prstGeom prst="roundRect">
          <a:avLst>
            <a:gd name="adj" fmla="val 4952"/>
          </a:avLst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4400" tIns="9144" rIns="3600" bIns="0" anchor="t" upright="1"/>
        <a:lstStyle/>
        <a:p>
          <a:pPr marL="0" indent="0" algn="l" rtl="0">
            <a:defRPr sz="1000"/>
          </a:pPr>
          <a:r>
            <a:rPr lang="de-CH" sz="900" b="1" i="0" u="none" strike="noStrike" baseline="0">
              <a:solidFill>
                <a:srgbClr val="FF0000"/>
              </a:solidFill>
              <a:latin typeface="Arial Narrow"/>
              <a:ea typeface="+mn-ea"/>
              <a:cs typeface="+mn-cs"/>
            </a:rPr>
            <a:t>Makros:</a:t>
          </a:r>
          <a:r>
            <a:rPr lang="de-CH" sz="900" b="1" i="0" u="none" strike="noStrike" baseline="0">
              <a:solidFill>
                <a:srgbClr val="800080"/>
              </a:solidFill>
              <a:latin typeface="Arial Narrow"/>
              <a:ea typeface="+mn-ea"/>
              <a:cs typeface="+mn-cs"/>
            </a:rPr>
            <a:t>  </a:t>
          </a:r>
          <a:r>
            <a:rPr lang="de-CH" sz="900" b="0" i="0" u="none" strike="noStrike" baseline="0">
              <a:solidFill>
                <a:srgbClr val="0000FF"/>
              </a:solidFill>
              <a:latin typeface="Arial Narrow"/>
              <a:ea typeface="+mn-ea"/>
              <a:cs typeface="+mn-cs"/>
            </a:rPr>
            <a:t>Die Datei enthält </a:t>
          </a:r>
          <a:r>
            <a:rPr lang="de-CH" sz="900" b="1" i="0" u="none" strike="noStrike" baseline="0">
              <a:solidFill>
                <a:srgbClr val="0000FF"/>
              </a:solidFill>
              <a:latin typeface="Arial Narrow"/>
              <a:ea typeface="+mn-ea"/>
              <a:cs typeface="+mn-cs"/>
            </a:rPr>
            <a:t>Makros</a:t>
          </a:r>
          <a:r>
            <a:rPr lang="de-CH" sz="900" b="0" i="0" u="none" strike="noStrike" baseline="0">
              <a:solidFill>
                <a:srgbClr val="0000FF"/>
              </a:solidFill>
              <a:latin typeface="Arial Narrow"/>
              <a:ea typeface="+mn-ea"/>
              <a:cs typeface="+mn-cs"/>
            </a:rPr>
            <a:t> (z.B. für Zeilen-Einfügen),</a:t>
          </a:r>
        </a:p>
        <a:p>
          <a:pPr marL="0" indent="0" algn="l" rtl="0">
            <a:defRPr sz="1000"/>
          </a:pPr>
          <a:r>
            <a:rPr lang="de-CH" sz="900" b="0" i="0" u="none" strike="noStrike" baseline="0">
              <a:solidFill>
                <a:srgbClr val="0000FF"/>
              </a:solidFill>
              <a:latin typeface="Arial Narrow"/>
              <a:ea typeface="+mn-ea"/>
              <a:cs typeface="+mn-cs"/>
            </a:rPr>
            <a:t>                 deshalb Makros </a:t>
          </a:r>
          <a:r>
            <a:rPr lang="de-CH" sz="900" b="1" i="0" u="none" strike="noStrike" baseline="0">
              <a:solidFill>
                <a:srgbClr val="0000FF"/>
              </a:solidFill>
              <a:latin typeface="Arial Narrow"/>
              <a:ea typeface="+mn-ea"/>
              <a:cs typeface="+mn-cs"/>
            </a:rPr>
            <a:t>zulassen bzw. aktivieren</a:t>
          </a:r>
          <a:r>
            <a:rPr lang="de-CH" sz="900" b="0" i="0" u="none" strike="noStrike" baseline="0">
              <a:solidFill>
                <a:srgbClr val="0000FF"/>
              </a:solidFill>
              <a:latin typeface="Arial Narrow"/>
              <a:ea typeface="+mn-ea"/>
              <a:cs typeface="+mn-cs"/>
            </a:rPr>
            <a:t>.  </a:t>
          </a:r>
        </a:p>
        <a:p>
          <a:pPr marL="0" indent="0" algn="l" rtl="0">
            <a:defRPr sz="1000"/>
          </a:pPr>
          <a:endParaRPr lang="de-CH" sz="400" b="0" i="0" u="none" strike="noStrike" baseline="0">
            <a:solidFill>
              <a:srgbClr val="0000FF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de-CH" sz="900" b="0" i="0" u="none" strike="noStrike" baseline="0">
              <a:solidFill>
                <a:srgbClr val="0000FF"/>
              </a:solidFill>
              <a:latin typeface="Arial Narrow"/>
              <a:ea typeface="+mn-ea"/>
              <a:cs typeface="+mn-cs"/>
            </a:rPr>
            <a:t>   -&gt; wenn nötig die Einstellungen anpassen: </a:t>
          </a:r>
          <a:br>
            <a:rPr lang="de-CH" sz="200" b="0" i="0" u="none" strike="noStrike" baseline="0">
              <a:solidFill>
                <a:srgbClr val="0000FF"/>
              </a:solidFill>
              <a:latin typeface="Arial Narrow"/>
              <a:ea typeface="+mn-ea"/>
              <a:cs typeface="+mn-cs"/>
            </a:rPr>
          </a:br>
          <a:endParaRPr lang="de-CH" sz="200" b="0" i="0" u="none" strike="noStrike" baseline="0">
            <a:solidFill>
              <a:srgbClr val="0000FF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de-CH" sz="900" b="0" i="0" u="none" strike="noStrike" baseline="0">
              <a:solidFill>
                <a:srgbClr val="800080"/>
              </a:solidFill>
              <a:latin typeface="Arial Narrow"/>
              <a:ea typeface="+mn-ea"/>
              <a:cs typeface="+mn-cs"/>
            </a:rPr>
            <a:t>     - Excel: Datei &gt; Optionen &gt; Sicherheitscenter (Trustcenter) &gt; </a:t>
          </a:r>
          <a:br>
            <a:rPr lang="de-CH" sz="900" b="0" i="0" u="none" strike="noStrike" baseline="0">
              <a:solidFill>
                <a:srgbClr val="800080"/>
              </a:solidFill>
              <a:latin typeface="Arial Narrow"/>
              <a:ea typeface="+mn-ea"/>
              <a:cs typeface="+mn-cs"/>
            </a:rPr>
          </a:br>
          <a:r>
            <a:rPr lang="de-CH" sz="900" b="0" i="0" u="none" strike="noStrike" baseline="0">
              <a:solidFill>
                <a:srgbClr val="800080"/>
              </a:solidFill>
              <a:latin typeface="Arial Narrow"/>
              <a:ea typeface="+mn-ea"/>
              <a:cs typeface="+mn-cs"/>
            </a:rPr>
            <a:t>         Einstellungen Sicherheitszentrum &gt; Einstellungen für Makros </a:t>
          </a:r>
        </a:p>
        <a:p>
          <a:pPr marL="0" indent="0" algn="l" rtl="0">
            <a:defRPr sz="1000"/>
          </a:pPr>
          <a:r>
            <a:rPr lang="de-CH" sz="900" b="0" i="0" u="none" strike="noStrike" baseline="0">
              <a:solidFill>
                <a:srgbClr val="800080"/>
              </a:solidFill>
              <a:latin typeface="Arial Narrow"/>
              <a:ea typeface="+mn-ea"/>
              <a:cs typeface="+mn-cs"/>
            </a:rPr>
            <a:t>          &gt; </a:t>
          </a:r>
          <a:r>
            <a:rPr lang="de-CH" sz="900" b="0" i="0" u="none" strike="noStrike" baseline="0">
              <a:solidFill>
                <a:srgbClr val="FF0000"/>
              </a:solidFill>
              <a:latin typeface="Arial Narrow"/>
              <a:ea typeface="+mn-ea"/>
              <a:cs typeface="+mn-cs"/>
            </a:rPr>
            <a:t>alle Makros </a:t>
          </a:r>
          <a:r>
            <a:rPr lang="de-CH" sz="900" b="0" i="0" u="sng" strike="noStrike" baseline="0">
              <a:solidFill>
                <a:srgbClr val="FF0000"/>
              </a:solidFill>
              <a:latin typeface="Arial Narrow"/>
              <a:ea typeface="+mn-ea"/>
              <a:cs typeface="+mn-cs"/>
            </a:rPr>
            <a:t>mit Benachrichtigung</a:t>
          </a:r>
          <a:r>
            <a:rPr lang="de-CH" sz="900" b="0" i="0" u="none" strike="noStrike" baseline="0">
              <a:solidFill>
                <a:srgbClr val="FF0000"/>
              </a:solidFill>
              <a:latin typeface="Arial Narrow"/>
              <a:ea typeface="+mn-ea"/>
              <a:cs typeface="+mn-cs"/>
            </a:rPr>
            <a:t> deaktivieren</a:t>
          </a:r>
          <a:endParaRPr lang="de-CH" sz="400" b="0" i="0" u="none" strike="noStrike" baseline="0">
            <a:solidFill>
              <a:srgbClr val="FF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endParaRPr lang="de-CH" sz="400" b="0" i="0" u="none" strike="noStrike" baseline="0">
            <a:solidFill>
              <a:srgbClr val="80008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de-CH" sz="900" b="0" i="0" u="none" strike="noStrike" baseline="0">
              <a:solidFill>
                <a:srgbClr val="0000FF"/>
              </a:solidFill>
              <a:latin typeface="Arial Narrow"/>
              <a:ea typeface="+mn-ea"/>
              <a:cs typeface="+mn-cs"/>
            </a:rPr>
            <a:t>  Danach Excel schliessen und neu starten, bei der Frage nach</a:t>
          </a:r>
          <a:br>
            <a:rPr lang="de-CH" sz="900" b="0" i="0" u="none" strike="noStrike" baseline="0">
              <a:solidFill>
                <a:srgbClr val="0000FF"/>
              </a:solidFill>
              <a:latin typeface="Arial Narrow"/>
              <a:ea typeface="+mn-ea"/>
              <a:cs typeface="+mn-cs"/>
            </a:rPr>
          </a:br>
          <a:r>
            <a:rPr lang="de-CH" sz="900" b="0" i="0" u="none" strike="noStrike" baseline="0">
              <a:solidFill>
                <a:srgbClr val="0000FF"/>
              </a:solidFill>
              <a:latin typeface="Arial Narrow"/>
              <a:ea typeface="+mn-ea"/>
              <a:cs typeface="+mn-cs"/>
            </a:rPr>
            <a:t>     Makros, </a:t>
          </a:r>
          <a:r>
            <a:rPr lang="de-CH" sz="900" b="0" i="0" u="none" strike="noStrike" baseline="0">
              <a:solidFill>
                <a:srgbClr val="FF0000"/>
              </a:solidFill>
              <a:latin typeface="Arial Narrow"/>
              <a:ea typeface="+mn-ea"/>
              <a:cs typeface="+mn-cs"/>
            </a:rPr>
            <a:t>"</a:t>
          </a:r>
          <a:r>
            <a:rPr lang="de-CH" sz="900" b="1" i="0" u="none" strike="noStrike" baseline="0">
              <a:solidFill>
                <a:srgbClr val="FF0000"/>
              </a:solidFill>
              <a:latin typeface="Arial Narrow"/>
              <a:ea typeface="+mn-ea"/>
              <a:cs typeface="+mn-cs"/>
            </a:rPr>
            <a:t>aktivieren</a:t>
          </a:r>
          <a:r>
            <a:rPr lang="de-CH" sz="900" b="0" i="0" u="none" strike="noStrike" baseline="0">
              <a:solidFill>
                <a:srgbClr val="FF0000"/>
              </a:solidFill>
              <a:latin typeface="Arial Narrow"/>
              <a:ea typeface="+mn-ea"/>
              <a:cs typeface="+mn-cs"/>
            </a:rPr>
            <a:t>"</a:t>
          </a:r>
          <a:r>
            <a:rPr lang="de-CH" sz="900" b="0" i="0" u="none" strike="noStrike" baseline="0">
              <a:solidFill>
                <a:srgbClr val="0000FF"/>
              </a:solidFill>
              <a:latin typeface="Arial Narrow"/>
              <a:ea typeface="+mn-ea"/>
              <a:cs typeface="+mn-cs"/>
            </a:rPr>
            <a:t> wählen. </a:t>
          </a:r>
          <a:br>
            <a:rPr lang="de-CH" sz="900" b="0" i="0" u="none" strike="noStrike" baseline="0">
              <a:solidFill>
                <a:srgbClr val="0000FF"/>
              </a:solidFill>
              <a:latin typeface="Arial Narrow"/>
              <a:ea typeface="+mn-ea"/>
              <a:cs typeface="+mn-cs"/>
            </a:rPr>
          </a:br>
          <a:endParaRPr lang="de-CH" sz="400" b="0" i="0" u="none" strike="noStrike" baseline="0">
            <a:solidFill>
              <a:srgbClr val="0000FF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de-CH" sz="800" b="0" i="1" u="none" strike="noStrike" baseline="0">
              <a:solidFill>
                <a:srgbClr val="0000FF"/>
              </a:solidFill>
              <a:latin typeface="Arial Narrow"/>
              <a:ea typeface="+mn-ea"/>
              <a:cs typeface="+mn-cs"/>
            </a:rPr>
            <a:t>ODER  Datei als vertrauenswürdig einstufen  (Rechtsklick auf die Excel-Datei, Eigenschaften auswählen, im Reiter Sicherheit die Schaltfläche "Zulassen" klicken.</a:t>
          </a:r>
        </a:p>
      </xdr:txBody>
    </xdr:sp>
    <xdr:clientData fPrintsWithSheet="0"/>
  </xdr:oneCellAnchor>
  <xdr:twoCellAnchor>
    <xdr:from>
      <xdr:col>19</xdr:col>
      <xdr:colOff>26280</xdr:colOff>
      <xdr:row>3</xdr:row>
      <xdr:rowOff>125717</xdr:rowOff>
    </xdr:from>
    <xdr:to>
      <xdr:col>19</xdr:col>
      <xdr:colOff>271442</xdr:colOff>
      <xdr:row>8</xdr:row>
      <xdr:rowOff>77643</xdr:rowOff>
    </xdr:to>
    <xdr:sp macro="" textlink="">
      <xdr:nvSpPr>
        <xdr:cNvPr id="2" name="Pfeil nach unt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 bwMode="auto">
        <a:xfrm rot="21087561">
          <a:off x="8524237" y="1045087"/>
          <a:ext cx="245162" cy="854730"/>
        </a:xfrm>
        <a:prstGeom prst="downArrow">
          <a:avLst>
            <a:gd name="adj1" fmla="val 50000"/>
            <a:gd name="adj2" fmla="val 49828"/>
          </a:avLst>
        </a:prstGeom>
        <a:solidFill>
          <a:srgbClr val="FFC000"/>
        </a:solidFill>
        <a:ln w="254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de-CH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182439</xdr:colOff>
          <xdr:row>129</xdr:row>
          <xdr:rowOff>143610</xdr:rowOff>
        </xdr:from>
        <xdr:to>
          <xdr:col>25</xdr:col>
          <xdr:colOff>183904</xdr:colOff>
          <xdr:row>148</xdr:row>
          <xdr:rowOff>16852</xdr:rowOff>
        </xdr:to>
        <xdr:grpSp>
          <xdr:nvGrpSpPr>
            <xdr:cNvPr id="3" name="Gruppieren 2">
              <a:extLst>
                <a:ext uri="{FF2B5EF4-FFF2-40B4-BE49-F238E27FC236}">
                  <a16:creationId xmlns:a16="http://schemas.microsoft.com/office/drawing/2014/main" id="{00000000-0008-0000-0200-000003000000}"/>
                </a:ext>
              </a:extLst>
            </xdr:cNvPr>
            <xdr:cNvGrpSpPr/>
          </xdr:nvGrpSpPr>
          <xdr:grpSpPr>
            <a:xfrm>
              <a:off x="9823396" y="16642567"/>
              <a:ext cx="2345443" cy="1231589"/>
              <a:chOff x="8938113" y="17251979"/>
              <a:chExt cx="2346087" cy="1280019"/>
            </a:xfrm>
          </xdr:grpSpPr>
          <xdr:sp macro="" textlink="">
            <xdr:nvSpPr>
              <xdr:cNvPr id="1343" name="Button 319" hidden="1">
                <a:extLst>
                  <a:ext uri="{63B3BB69-23CF-44E3-9099-C40C66FF867C}">
                    <a14:compatExt spid="_x0000_s1343"/>
                  </a:ext>
                  <a:ext uri="{FF2B5EF4-FFF2-40B4-BE49-F238E27FC236}">
                    <a16:creationId xmlns:a16="http://schemas.microsoft.com/office/drawing/2014/main" id="{00000000-0008-0000-0200-00003F050000}"/>
                  </a:ext>
                </a:extLst>
              </xdr:cNvPr>
              <xdr:cNvSpPr/>
            </xdr:nvSpPr>
            <xdr:spPr bwMode="auto">
              <a:xfrm>
                <a:off x="8941045" y="17753136"/>
                <a:ext cx="1514475" cy="167054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00" tIns="0" rIns="3600" bIns="0" anchor="ctr" upright="1"/>
              <a:lstStyle/>
              <a:p>
                <a:pPr algn="ctr" rtl="0">
                  <a:defRPr sz="1000"/>
                </a:pPr>
                <a:r>
                  <a:rPr lang="de-CH" sz="800" b="1" i="0" u="none" strike="noStrike" baseline="0">
                    <a:solidFill>
                      <a:srgbClr val="993300"/>
                    </a:solidFill>
                    <a:latin typeface="Arial Narrow"/>
                  </a:rPr>
                  <a:t>feste Vergärungsprod. anzeigen</a:t>
                </a:r>
              </a:p>
            </xdr:txBody>
          </xdr:sp>
          <xdr:sp macro="" textlink="">
            <xdr:nvSpPr>
              <xdr:cNvPr id="1347" name="Button 323" hidden="1">
                <a:extLst>
                  <a:ext uri="{63B3BB69-23CF-44E3-9099-C40C66FF867C}">
                    <a14:compatExt spid="_x0000_s1347"/>
                  </a:ext>
                  <a:ext uri="{FF2B5EF4-FFF2-40B4-BE49-F238E27FC236}">
                    <a16:creationId xmlns:a16="http://schemas.microsoft.com/office/drawing/2014/main" id="{00000000-0008-0000-0200-000043050000}"/>
                  </a:ext>
                </a:extLst>
              </xdr:cNvPr>
              <xdr:cNvSpPr/>
            </xdr:nvSpPr>
            <xdr:spPr bwMode="auto">
              <a:xfrm>
                <a:off x="9933843" y="17446871"/>
                <a:ext cx="523875" cy="16705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0" tIns="0" rIns="0" bIns="0" anchor="ctr" upright="1"/>
              <a:lstStyle/>
              <a:p>
                <a:pPr algn="ctr" rtl="0">
                  <a:defRPr sz="1000"/>
                </a:pPr>
                <a:r>
                  <a:rPr lang="de-CH" sz="800" b="1" i="0" u="none" strike="noStrike" baseline="0">
                    <a:solidFill>
                      <a:srgbClr val="000000"/>
                    </a:solidFill>
                    <a:latin typeface="Arial Narrow"/>
                  </a:rPr>
                  <a:t>ausblenden</a:t>
                </a:r>
              </a:p>
            </xdr:txBody>
          </xdr:sp>
          <xdr:sp macro="" textlink="">
            <xdr:nvSpPr>
              <xdr:cNvPr id="1348" name="Button 324" hidden="1">
                <a:extLst>
                  <a:ext uri="{63B3BB69-23CF-44E3-9099-C40C66FF867C}">
                    <a14:compatExt spid="_x0000_s1348"/>
                  </a:ext>
                  <a:ext uri="{FF2B5EF4-FFF2-40B4-BE49-F238E27FC236}">
                    <a16:creationId xmlns:a16="http://schemas.microsoft.com/office/drawing/2014/main" id="{00000000-0008-0000-0200-000044050000}"/>
                  </a:ext>
                </a:extLst>
              </xdr:cNvPr>
              <xdr:cNvSpPr/>
            </xdr:nvSpPr>
            <xdr:spPr bwMode="auto">
              <a:xfrm>
                <a:off x="9931645" y="17939240"/>
                <a:ext cx="523875" cy="17145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00" tIns="0" rIns="3600" bIns="0" anchor="ctr" upright="1"/>
              <a:lstStyle/>
              <a:p>
                <a:pPr algn="ctr" rtl="0">
                  <a:defRPr sz="1000"/>
                </a:pPr>
                <a:r>
                  <a:rPr lang="de-CH" sz="800" b="1" i="0" u="none" strike="noStrike" baseline="0">
                    <a:solidFill>
                      <a:srgbClr val="993300"/>
                    </a:solidFill>
                    <a:latin typeface="Arial Narrow"/>
                  </a:rPr>
                  <a:t>ausblenden</a:t>
                </a:r>
              </a:p>
            </xdr:txBody>
          </xdr:sp>
          <xdr:sp macro="" textlink="">
            <xdr:nvSpPr>
              <xdr:cNvPr id="43233" name="Button 19681" hidden="1">
                <a:extLst>
                  <a:ext uri="{63B3BB69-23CF-44E3-9099-C40C66FF867C}">
                    <a14:compatExt spid="_x0000_s43233"/>
                  </a:ext>
                  <a:ext uri="{FF2B5EF4-FFF2-40B4-BE49-F238E27FC236}">
                    <a16:creationId xmlns:a16="http://schemas.microsoft.com/office/drawing/2014/main" id="{00000000-0008-0000-0200-0000E1A80000}"/>
                  </a:ext>
                </a:extLst>
              </xdr:cNvPr>
              <xdr:cNvSpPr/>
            </xdr:nvSpPr>
            <xdr:spPr bwMode="auto">
              <a:xfrm>
                <a:off x="10482629" y="17251979"/>
                <a:ext cx="790575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0" tIns="3600" rIns="0" bIns="0" anchor="ctr" upright="1"/>
              <a:lstStyle/>
              <a:p>
                <a:pPr algn="ctr" rtl="0">
                  <a:defRPr sz="1000"/>
                </a:pPr>
                <a:r>
                  <a:rPr lang="de-CH" sz="800" b="1" i="0" u="none" strike="noStrike" baseline="0">
                    <a:solidFill>
                      <a:srgbClr val="000000"/>
                    </a:solidFill>
                    <a:latin typeface="Arial Narrow"/>
                  </a:rPr>
                  <a:t>Zeile einfügen </a:t>
                </a:r>
                <a:r>
                  <a:rPr lang="de-CH" sz="800" b="1" i="0" u="none" strike="noStrike" baseline="0">
                    <a:solidFill>
                      <a:srgbClr val="0000FF"/>
                    </a:solidFill>
                    <a:latin typeface="Arial Narrow"/>
                  </a:rPr>
                  <a:t>flü.</a:t>
                </a:r>
              </a:p>
              <a:p>
                <a:pPr algn="ctr" rtl="0">
                  <a:defRPr sz="1000"/>
                </a:pPr>
                <a:r>
                  <a:rPr lang="de-CH" sz="800" b="0" i="0" u="none" strike="noStrike" baseline="0">
                    <a:solidFill>
                      <a:srgbClr val="FF6600"/>
                    </a:solidFill>
                    <a:latin typeface="Arial Narrow"/>
                  </a:rPr>
                  <a:t>vergärte Hofdünger</a:t>
                </a:r>
              </a:p>
            </xdr:txBody>
          </xdr:sp>
          <xdr:sp macro="" textlink="">
            <xdr:nvSpPr>
              <xdr:cNvPr id="43236" name="Button 19684" hidden="1">
                <a:extLst>
                  <a:ext uri="{63B3BB69-23CF-44E3-9099-C40C66FF867C}">
                    <a14:compatExt spid="_x0000_s43236"/>
                  </a:ext>
                  <a:ext uri="{FF2B5EF4-FFF2-40B4-BE49-F238E27FC236}">
                    <a16:creationId xmlns:a16="http://schemas.microsoft.com/office/drawing/2014/main" id="{00000000-0008-0000-0200-0000E4A80000}"/>
                  </a:ext>
                </a:extLst>
              </xdr:cNvPr>
              <xdr:cNvSpPr/>
            </xdr:nvSpPr>
            <xdr:spPr bwMode="auto">
              <a:xfrm>
                <a:off x="10493623" y="17824940"/>
                <a:ext cx="790577" cy="1809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00" tIns="3600" rIns="3600" bIns="0" anchor="ctr" upright="1"/>
              <a:lstStyle/>
              <a:p>
                <a:pPr algn="ctr" rtl="0">
                  <a:defRPr sz="1000"/>
                </a:pPr>
                <a:r>
                  <a:rPr lang="de-CH" sz="800" b="1" i="0" u="none" strike="noStrike" baseline="0">
                    <a:solidFill>
                      <a:srgbClr val="993300"/>
                    </a:solidFill>
                    <a:latin typeface="Arial Narrow"/>
                  </a:rPr>
                  <a:t>Zeile einfügen</a:t>
                </a:r>
              </a:p>
            </xdr:txBody>
          </xdr:sp>
          <xdr:sp macro="" textlink="">
            <xdr:nvSpPr>
              <xdr:cNvPr id="1338" name="Button 314" hidden="1">
                <a:extLst>
                  <a:ext uri="{63B3BB69-23CF-44E3-9099-C40C66FF867C}">
                    <a14:compatExt spid="_x0000_s1338"/>
                  </a:ext>
                  <a:ext uri="{FF2B5EF4-FFF2-40B4-BE49-F238E27FC236}">
                    <a16:creationId xmlns:a16="http://schemas.microsoft.com/office/drawing/2014/main" id="{00000000-0008-0000-0200-00003A050000}"/>
                  </a:ext>
                </a:extLst>
              </xdr:cNvPr>
              <xdr:cNvSpPr/>
            </xdr:nvSpPr>
            <xdr:spPr bwMode="auto">
              <a:xfrm>
                <a:off x="8943976" y="17272490"/>
                <a:ext cx="1514475" cy="1619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0" tIns="0" rIns="0" bIns="0" anchor="ctr" upright="1"/>
              <a:lstStyle/>
              <a:p>
                <a:pPr algn="ctr" rtl="0">
                  <a:defRPr sz="1000"/>
                </a:pPr>
                <a:r>
                  <a:rPr lang="de-CH" sz="800" b="1" i="0" u="none" strike="noStrike" baseline="0">
                    <a:solidFill>
                      <a:srgbClr val="0000FF"/>
                    </a:solidFill>
                    <a:latin typeface="Arial Narrow"/>
                  </a:rPr>
                  <a:t>flüssige Vergärungsprod.</a:t>
                </a:r>
                <a:r>
                  <a:rPr lang="de-CH" sz="800" b="1" i="0" u="none" strike="noStrike" baseline="0">
                    <a:solidFill>
                      <a:srgbClr val="000000"/>
                    </a:solidFill>
                    <a:latin typeface="Arial Narrow"/>
                  </a:rPr>
                  <a:t> anzeigen</a:t>
                </a:r>
              </a:p>
              <a:p>
                <a:pPr algn="ctr" rtl="0">
                  <a:defRPr sz="1000"/>
                </a:pPr>
                <a:r>
                  <a:rPr lang="de-CH" sz="800" b="1" i="0" u="none" strike="noStrike" baseline="0">
                    <a:solidFill>
                      <a:srgbClr val="000000"/>
                    </a:solidFill>
                    <a:latin typeface="Arial Narrow"/>
                  </a:rPr>
                  <a:t>Bereich </a:t>
                </a:r>
                <a:r>
                  <a:rPr lang="de-CH" sz="800" b="1" i="0" u="none" strike="noStrike" baseline="0">
                    <a:solidFill>
                      <a:srgbClr val="0000FF"/>
                    </a:solidFill>
                    <a:latin typeface="Arial Narrow"/>
                  </a:rPr>
                  <a:t>flüssige Vergärungsprod.</a:t>
                </a:r>
                <a:r>
                  <a:rPr lang="de-CH" sz="800" b="1" i="0" u="none" strike="noStrike" baseline="0">
                    <a:solidFill>
                      <a:srgbClr val="000000"/>
                    </a:solidFill>
                    <a:latin typeface="Arial Narrow"/>
                  </a:rPr>
                  <a:t> </a:t>
                </a:r>
              </a:p>
            </xdr:txBody>
          </xdr:sp>
          <xdr:sp macro="" textlink="">
            <xdr:nvSpPr>
              <xdr:cNvPr id="43277" name="Button 19725" hidden="1">
                <a:extLst>
                  <a:ext uri="{63B3BB69-23CF-44E3-9099-C40C66FF867C}">
                    <a14:compatExt spid="_x0000_s43277"/>
                  </a:ext>
                  <a:ext uri="{FF2B5EF4-FFF2-40B4-BE49-F238E27FC236}">
                    <a16:creationId xmlns:a16="http://schemas.microsoft.com/office/drawing/2014/main" id="{00000000-0008-0000-0200-00000DA90000}"/>
                  </a:ext>
                </a:extLst>
              </xdr:cNvPr>
              <xdr:cNvSpPr/>
            </xdr:nvSpPr>
            <xdr:spPr bwMode="auto">
              <a:xfrm>
                <a:off x="8938113" y="18177365"/>
                <a:ext cx="1514476" cy="17145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00" tIns="0" rIns="3600" bIns="0" anchor="ctr" upright="1"/>
              <a:lstStyle/>
              <a:p>
                <a:pPr algn="ctr" rtl="0">
                  <a:defRPr sz="1000"/>
                </a:pPr>
                <a:r>
                  <a:rPr lang="de-CH" sz="800" b="1" i="0" u="none" strike="noStrike" baseline="0">
                    <a:solidFill>
                      <a:srgbClr val="800080"/>
                    </a:solidFill>
                    <a:latin typeface="Arial Narrow"/>
                  </a:rPr>
                  <a:t>Ernterückstände Gemüse anzeigen</a:t>
                </a:r>
              </a:p>
            </xdr:txBody>
          </xdr:sp>
          <xdr:sp macro="" textlink="">
            <xdr:nvSpPr>
              <xdr:cNvPr id="43278" name="Button 19726" hidden="1">
                <a:extLst>
                  <a:ext uri="{63B3BB69-23CF-44E3-9099-C40C66FF867C}">
                    <a14:compatExt spid="_x0000_s43278"/>
                  </a:ext>
                  <a:ext uri="{FF2B5EF4-FFF2-40B4-BE49-F238E27FC236}">
                    <a16:creationId xmlns:a16="http://schemas.microsoft.com/office/drawing/2014/main" id="{00000000-0008-0000-0200-00000EA90000}"/>
                  </a:ext>
                </a:extLst>
              </xdr:cNvPr>
              <xdr:cNvSpPr/>
            </xdr:nvSpPr>
            <xdr:spPr bwMode="auto">
              <a:xfrm>
                <a:off x="9928714" y="18360548"/>
                <a:ext cx="523875" cy="17145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00" tIns="0" rIns="3600" bIns="0" anchor="ctr" upright="1"/>
              <a:lstStyle/>
              <a:p>
                <a:pPr algn="ctr" rtl="0">
                  <a:defRPr sz="1000"/>
                </a:pPr>
                <a:r>
                  <a:rPr lang="de-CH" sz="800" b="1" i="0" u="none" strike="noStrike" baseline="0">
                    <a:solidFill>
                      <a:srgbClr val="800080"/>
                    </a:solidFill>
                    <a:latin typeface="Arial Narrow"/>
                  </a:rPr>
                  <a:t>ausblenden</a:t>
                </a:r>
              </a:p>
            </xdr:txBody>
          </xdr:sp>
          <xdr:sp macro="" textlink="">
            <xdr:nvSpPr>
              <xdr:cNvPr id="43319" name="Button 19767" hidden="1">
                <a:extLst>
                  <a:ext uri="{63B3BB69-23CF-44E3-9099-C40C66FF867C}">
                    <a14:compatExt spid="_x0000_s43319"/>
                  </a:ext>
                  <a:ext uri="{FF2B5EF4-FFF2-40B4-BE49-F238E27FC236}">
                    <a16:creationId xmlns:a16="http://schemas.microsoft.com/office/drawing/2014/main" id="{00000000-0008-0000-0200-000037A90000}"/>
                  </a:ext>
                </a:extLst>
              </xdr:cNvPr>
              <xdr:cNvSpPr/>
            </xdr:nvSpPr>
            <xdr:spPr bwMode="auto">
              <a:xfrm>
                <a:off x="10476767" y="17500358"/>
                <a:ext cx="800100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0" tIns="3600" rIns="0" bIns="0" anchor="ctr" upright="1"/>
              <a:lstStyle/>
              <a:p>
                <a:pPr algn="ctr" rtl="0">
                  <a:defRPr sz="1000"/>
                </a:pPr>
                <a:r>
                  <a:rPr lang="de-CH" sz="800" b="1" i="0" u="none" strike="noStrike" baseline="0">
                    <a:solidFill>
                      <a:srgbClr val="000000"/>
                    </a:solidFill>
                    <a:latin typeface="Arial Narrow"/>
                  </a:rPr>
                  <a:t>Zeile einfügen </a:t>
                </a:r>
                <a:r>
                  <a:rPr lang="de-CH" sz="800" b="1" i="0" u="none" strike="noStrike" baseline="0">
                    <a:solidFill>
                      <a:srgbClr val="0000FF"/>
                    </a:solidFill>
                    <a:latin typeface="Arial Narrow"/>
                  </a:rPr>
                  <a:t>flü. </a:t>
                </a:r>
              </a:p>
              <a:p>
                <a:pPr algn="ctr" rtl="0">
                  <a:defRPr sz="1000"/>
                </a:pPr>
                <a:r>
                  <a:rPr lang="de-CH" sz="800" b="0" i="0" u="none" strike="noStrike" baseline="0">
                    <a:solidFill>
                      <a:srgbClr val="FF00FF"/>
                    </a:solidFill>
                    <a:latin typeface="Arial Narrow"/>
                  </a:rPr>
                  <a:t>Recyclingdünger</a:t>
                </a:r>
              </a:p>
            </xdr:txBody>
          </xdr:sp>
        </xdr:grp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66675</xdr:colOff>
          <xdr:row>29</xdr:row>
          <xdr:rowOff>95250</xdr:rowOff>
        </xdr:from>
        <xdr:to>
          <xdr:col>24</xdr:col>
          <xdr:colOff>1047750</xdr:colOff>
          <xdr:row>34</xdr:row>
          <xdr:rowOff>38100</xdr:rowOff>
        </xdr:to>
        <xdr:grpSp>
          <xdr:nvGrpSpPr>
            <xdr:cNvPr id="5" name="Gruppieren 4">
              <a:extLst>
                <a:ext uri="{FF2B5EF4-FFF2-40B4-BE49-F238E27FC236}">
                  <a16:creationId xmlns:a16="http://schemas.microsoft.com/office/drawing/2014/main" id="{D67C2BA8-CFCE-EF63-FE1B-190EF2C8EF21}"/>
                </a:ext>
              </a:extLst>
            </xdr:cNvPr>
            <xdr:cNvGrpSpPr/>
          </xdr:nvGrpSpPr>
          <xdr:grpSpPr>
            <a:xfrm>
              <a:off x="8564632" y="3996359"/>
              <a:ext cx="3084857" cy="688284"/>
              <a:chOff x="7576771" y="4000500"/>
              <a:chExt cx="3083902" cy="712177"/>
            </a:xfrm>
          </xdr:grpSpPr>
          <xdr:sp macro="" textlink="">
            <xdr:nvSpPr>
              <xdr:cNvPr id="1038" name="Button 14" hidden="1">
                <a:extLst>
                  <a:ext uri="{63B3BB69-23CF-44E3-9099-C40C66FF867C}">
                    <a14:compatExt spid="_x0000_s1038"/>
                  </a:ext>
                  <a:ext uri="{FF2B5EF4-FFF2-40B4-BE49-F238E27FC236}">
                    <a16:creationId xmlns:a16="http://schemas.microsoft.com/office/drawing/2014/main" id="{00000000-0008-0000-0200-00000E040000}"/>
                  </a:ext>
                </a:extLst>
              </xdr:cNvPr>
              <xdr:cNvSpPr/>
            </xdr:nvSpPr>
            <xdr:spPr bwMode="auto">
              <a:xfrm>
                <a:off x="7576771" y="4404946"/>
                <a:ext cx="1476375" cy="307731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00" tIns="3600" rIns="3600" bIns="3600" anchor="ctr" upright="1"/>
              <a:lstStyle/>
              <a:p>
                <a:pPr algn="ctr" rtl="0">
                  <a:defRPr sz="1000"/>
                </a:pPr>
                <a:r>
                  <a:rPr lang="de-CH" sz="900" b="1" i="0" u="none" strike="noStrike" baseline="0">
                    <a:solidFill>
                      <a:srgbClr val="000000"/>
                    </a:solidFill>
                    <a:latin typeface="Arial Narrow"/>
                  </a:rPr>
                  <a:t>1 Zeile für </a:t>
                </a:r>
                <a:r>
                  <a:rPr lang="de-CH" sz="900" b="1" i="0" u="none" strike="noStrike" baseline="0">
                    <a:solidFill>
                      <a:srgbClr val="0000FF"/>
                    </a:solidFill>
                    <a:latin typeface="Arial Narrow"/>
                  </a:rPr>
                  <a:t>Tierkategorie</a:t>
                </a:r>
                <a:r>
                  <a:rPr lang="de-CH" sz="900" b="1" i="0" u="none" strike="noStrike" baseline="0">
                    <a:solidFill>
                      <a:srgbClr val="000000"/>
                    </a:solidFill>
                    <a:latin typeface="Arial Narrow"/>
                  </a:rPr>
                  <a:t> einfügen</a:t>
                </a:r>
              </a:p>
            </xdr:txBody>
          </xdr:sp>
          <xdr:sp macro="" textlink="">
            <xdr:nvSpPr>
              <xdr:cNvPr id="1054" name="Button 30" hidden="1">
                <a:extLst>
                  <a:ext uri="{63B3BB69-23CF-44E3-9099-C40C66FF867C}">
                    <a14:compatExt spid="_x0000_s1054"/>
                  </a:ext>
                  <a:ext uri="{FF2B5EF4-FFF2-40B4-BE49-F238E27FC236}">
                    <a16:creationId xmlns:a16="http://schemas.microsoft.com/office/drawing/2014/main" id="{00000000-0008-0000-0200-00001E040000}"/>
                  </a:ext>
                </a:extLst>
              </xdr:cNvPr>
              <xdr:cNvSpPr/>
            </xdr:nvSpPr>
            <xdr:spPr bwMode="auto">
              <a:xfrm>
                <a:off x="9186496" y="4404946"/>
                <a:ext cx="1474177" cy="307731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00" tIns="3600" rIns="3600" bIns="3600" anchor="ctr" upright="1"/>
              <a:lstStyle/>
              <a:p>
                <a:pPr algn="ctr" rtl="0">
                  <a:defRPr sz="1000"/>
                </a:pPr>
                <a:r>
                  <a:rPr lang="de-CH" sz="900" b="1" i="0" u="none" strike="noStrike" baseline="0">
                    <a:solidFill>
                      <a:srgbClr val="000000"/>
                    </a:solidFill>
                    <a:latin typeface="Arial Narrow"/>
                  </a:rPr>
                  <a:t>1 Zeile für </a:t>
                </a:r>
                <a:r>
                  <a:rPr lang="de-CH" sz="900" b="1" i="0" u="none" strike="noStrike" baseline="0">
                    <a:solidFill>
                      <a:srgbClr val="0000FF"/>
                    </a:solidFill>
                    <a:latin typeface="Arial Narrow"/>
                  </a:rPr>
                  <a:t>Übertrag von</a:t>
                </a:r>
              </a:p>
              <a:p>
                <a:pPr algn="ctr" rtl="0">
                  <a:defRPr sz="1000"/>
                </a:pPr>
                <a:r>
                  <a:rPr lang="de-CH" sz="900" b="1" i="0" u="none" strike="noStrike" baseline="0">
                    <a:solidFill>
                      <a:srgbClr val="0000FF"/>
                    </a:solidFill>
                    <a:latin typeface="Arial Narrow"/>
                  </a:rPr>
                  <a:t> Import/Export-Bilanz </a:t>
                </a:r>
                <a:r>
                  <a:rPr lang="de-CH" sz="900" b="1" i="0" u="none" strike="noStrike" baseline="0">
                    <a:solidFill>
                      <a:srgbClr val="000000"/>
                    </a:solidFill>
                    <a:latin typeface="Arial Narrow"/>
                  </a:rPr>
                  <a:t>einfügen</a:t>
                </a:r>
              </a:p>
            </xdr:txBody>
          </xdr:sp>
          <xdr:sp macro="" textlink="">
            <xdr:nvSpPr>
              <xdr:cNvPr id="43263" name="Button 19711" hidden="1">
                <a:extLst>
                  <a:ext uri="{63B3BB69-23CF-44E3-9099-C40C66FF867C}">
                    <a14:compatExt spid="_x0000_s43263"/>
                  </a:ext>
                  <a:ext uri="{FF2B5EF4-FFF2-40B4-BE49-F238E27FC236}">
                    <a16:creationId xmlns:a16="http://schemas.microsoft.com/office/drawing/2014/main" id="{00000000-0008-0000-0200-0000FFA80000}"/>
                  </a:ext>
                </a:extLst>
              </xdr:cNvPr>
              <xdr:cNvSpPr/>
            </xdr:nvSpPr>
            <xdr:spPr bwMode="auto">
              <a:xfrm>
                <a:off x="7576771" y="4000500"/>
                <a:ext cx="1476375" cy="298206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00" tIns="3600" rIns="3600" bIns="3600" anchor="ctr" upright="1"/>
              <a:lstStyle/>
              <a:p>
                <a:pPr algn="ctr" rtl="0">
                  <a:defRPr sz="1000"/>
                </a:pPr>
                <a:r>
                  <a:rPr lang="de-CH" sz="900" b="1" i="0" u="none" strike="noStrike" baseline="0">
                    <a:solidFill>
                      <a:srgbClr val="000000"/>
                    </a:solidFill>
                    <a:latin typeface="Arial Narrow"/>
                  </a:rPr>
                  <a:t>1 Zeile für </a:t>
                </a:r>
                <a:r>
                  <a:rPr lang="de-CH" sz="900" b="1" i="0" u="none" strike="noStrike" baseline="0">
                    <a:solidFill>
                      <a:srgbClr val="0000FF"/>
                    </a:solidFill>
                    <a:latin typeface="Arial Narrow"/>
                  </a:rPr>
                  <a:t>Milchkühe </a:t>
                </a:r>
                <a:endParaRPr lang="de-CH" sz="900" b="1" i="0" u="none" strike="noStrike" baseline="0">
                  <a:solidFill>
                    <a:srgbClr val="000000"/>
                  </a:solidFill>
                  <a:latin typeface="Arial Narrow"/>
                </a:endParaRPr>
              </a:p>
              <a:p>
                <a:pPr algn="ctr" rtl="0">
                  <a:defRPr sz="1000"/>
                </a:pPr>
                <a:r>
                  <a:rPr lang="de-CH" sz="900" b="1" i="0" u="none" strike="noStrike" baseline="0">
                    <a:solidFill>
                      <a:srgbClr val="000000"/>
                    </a:solidFill>
                    <a:latin typeface="Arial Narrow"/>
                  </a:rPr>
                  <a:t> einfügen </a:t>
                </a:r>
              </a:p>
            </xdr:txBody>
          </xdr:sp>
          <xdr:sp macro="" textlink="">
            <xdr:nvSpPr>
              <xdr:cNvPr id="43266" name="Button 19714" hidden="1">
                <a:extLst>
                  <a:ext uri="{63B3BB69-23CF-44E3-9099-C40C66FF867C}">
                    <a14:compatExt spid="_x0000_s43266"/>
                  </a:ext>
                  <a:ext uri="{FF2B5EF4-FFF2-40B4-BE49-F238E27FC236}">
                    <a16:creationId xmlns:a16="http://schemas.microsoft.com/office/drawing/2014/main" id="{00000000-0008-0000-0200-000002A90000}"/>
                  </a:ext>
                </a:extLst>
              </xdr:cNvPr>
              <xdr:cNvSpPr/>
            </xdr:nvSpPr>
            <xdr:spPr bwMode="auto">
              <a:xfrm>
                <a:off x="9176971" y="4000500"/>
                <a:ext cx="1474177" cy="307731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00" tIns="3600" rIns="3600" bIns="3600" anchor="ctr" upright="1"/>
              <a:lstStyle/>
              <a:p>
                <a:pPr algn="ctr" rtl="0">
                  <a:defRPr sz="1000"/>
                </a:pPr>
                <a:r>
                  <a:rPr lang="de-CH" sz="900" b="1" i="0" u="none" strike="noStrike" baseline="0">
                    <a:solidFill>
                      <a:srgbClr val="000000"/>
                    </a:solidFill>
                    <a:latin typeface="Arial Narrow"/>
                  </a:rPr>
                  <a:t>1 Zeile für </a:t>
                </a:r>
                <a:r>
                  <a:rPr lang="de-CH" sz="900" b="1" i="0" u="none" strike="noStrike" baseline="0">
                    <a:solidFill>
                      <a:srgbClr val="0000FF"/>
                    </a:solidFill>
                    <a:latin typeface="Arial Narrow"/>
                  </a:rPr>
                  <a:t>Rindviehmast </a:t>
                </a:r>
              </a:p>
              <a:p>
                <a:pPr algn="ctr" rtl="0">
                  <a:defRPr sz="1000"/>
                </a:pPr>
                <a:r>
                  <a:rPr lang="de-CH" sz="900" b="1" i="0" u="none" strike="noStrike" baseline="0">
                    <a:solidFill>
                      <a:srgbClr val="000000"/>
                    </a:solidFill>
                    <a:latin typeface="Arial Narrow"/>
                  </a:rPr>
                  <a:t> einfügen </a:t>
                </a:r>
              </a:p>
            </xdr:txBody>
          </xdr:sp>
        </xdr:grp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66675</xdr:colOff>
          <xdr:row>34</xdr:row>
          <xdr:rowOff>142875</xdr:rowOff>
        </xdr:from>
        <xdr:to>
          <xdr:col>24</xdr:col>
          <xdr:colOff>1057275</xdr:colOff>
          <xdr:row>38</xdr:row>
          <xdr:rowOff>110712</xdr:rowOff>
        </xdr:to>
        <xdr:grpSp>
          <xdr:nvGrpSpPr>
            <xdr:cNvPr id="4" name="Gruppieren 3">
              <a:extLst>
                <a:ext uri="{FF2B5EF4-FFF2-40B4-BE49-F238E27FC236}">
                  <a16:creationId xmlns:a16="http://schemas.microsoft.com/office/drawing/2014/main" id="{AC4E03CD-2AA0-18D6-A479-D86962089623}"/>
                </a:ext>
              </a:extLst>
            </xdr:cNvPr>
            <xdr:cNvGrpSpPr/>
          </xdr:nvGrpSpPr>
          <xdr:grpSpPr>
            <a:xfrm>
              <a:off x="8564632" y="4789418"/>
              <a:ext cx="3094382" cy="589033"/>
              <a:chOff x="7576772" y="5029928"/>
              <a:chExt cx="3093426" cy="597955"/>
            </a:xfrm>
          </xdr:grpSpPr>
          <xdr:sp macro="" textlink="">
            <xdr:nvSpPr>
              <xdr:cNvPr id="43338" name="Button 19786" hidden="1">
                <a:extLst>
                  <a:ext uri="{63B3BB69-23CF-44E3-9099-C40C66FF867C}">
                    <a14:compatExt spid="_x0000_s43338"/>
                  </a:ext>
                  <a:ext uri="{FF2B5EF4-FFF2-40B4-BE49-F238E27FC236}">
                    <a16:creationId xmlns:a16="http://schemas.microsoft.com/office/drawing/2014/main" id="{00000000-0008-0000-0200-00004AA90000}"/>
                  </a:ext>
                </a:extLst>
              </xdr:cNvPr>
              <xdr:cNvSpPr/>
            </xdr:nvSpPr>
            <xdr:spPr bwMode="auto">
              <a:xfrm>
                <a:off x="8110171" y="5465883"/>
                <a:ext cx="932400" cy="1620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00" tIns="3600" rIns="3600" bIns="0" anchor="ctr" upright="1"/>
              <a:lstStyle/>
              <a:p>
                <a:pPr algn="l" rtl="0">
                  <a:defRPr sz="1000"/>
                </a:pPr>
                <a:r>
                  <a:rPr lang="de-CH" sz="800" b="1" i="0" u="none" strike="noStrike" baseline="0">
                    <a:solidFill>
                      <a:srgbClr val="000000"/>
                    </a:solidFill>
                    <a:latin typeface="Arial Narrow"/>
                  </a:rPr>
                  <a:t>  Zeile einfügen</a:t>
                </a:r>
              </a:p>
            </xdr:txBody>
          </xdr:sp>
          <xdr:sp macro="" textlink="">
            <xdr:nvSpPr>
              <xdr:cNvPr id="43344" name="Button 19792" hidden="1">
                <a:extLst>
                  <a:ext uri="{63B3BB69-23CF-44E3-9099-C40C66FF867C}">
                    <a14:compatExt spid="_x0000_s43344"/>
                  </a:ext>
                  <a:ext uri="{FF2B5EF4-FFF2-40B4-BE49-F238E27FC236}">
                    <a16:creationId xmlns:a16="http://schemas.microsoft.com/office/drawing/2014/main" id="{00000000-0008-0000-0200-000050A90000}"/>
                  </a:ext>
                </a:extLst>
              </xdr:cNvPr>
              <xdr:cNvSpPr/>
            </xdr:nvSpPr>
            <xdr:spPr bwMode="auto">
              <a:xfrm>
                <a:off x="7576772" y="5029928"/>
                <a:ext cx="1476375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18000" tIns="3600" rIns="3600" bIns="0" anchor="ctr" upright="1"/>
              <a:lstStyle/>
              <a:p>
                <a:pPr algn="l" rtl="0">
                  <a:defRPr sz="1000"/>
                </a:pPr>
                <a:r>
                  <a:rPr lang="de-CH" sz="900" b="1" i="0" u="none" strike="noStrike" baseline="0">
                    <a:solidFill>
                      <a:srgbClr val="0000FF"/>
                    </a:solidFill>
                    <a:latin typeface="Arial Narrow"/>
                  </a:rPr>
                  <a:t>Milchziegen </a:t>
                </a:r>
                <a:r>
                  <a:rPr lang="de-CH" sz="900" b="1" i="0" u="none" strike="noStrike" baseline="0">
                    <a:solidFill>
                      <a:srgbClr val="000000"/>
                    </a:solidFill>
                    <a:latin typeface="Arial Narrow"/>
                  </a:rPr>
                  <a:t>anzeigen</a:t>
                </a:r>
              </a:p>
            </xdr:txBody>
          </xdr:sp>
          <xdr:sp macro="" textlink="">
            <xdr:nvSpPr>
              <xdr:cNvPr id="43345" name="Button 19793" hidden="1">
                <a:extLst>
                  <a:ext uri="{63B3BB69-23CF-44E3-9099-C40C66FF867C}">
                    <a14:compatExt spid="_x0000_s43345"/>
                  </a:ext>
                  <a:ext uri="{FF2B5EF4-FFF2-40B4-BE49-F238E27FC236}">
                    <a16:creationId xmlns:a16="http://schemas.microsoft.com/office/drawing/2014/main" id="{00000000-0008-0000-0200-000051A90000}"/>
                  </a:ext>
                </a:extLst>
              </xdr:cNvPr>
              <xdr:cNvSpPr/>
            </xdr:nvSpPr>
            <xdr:spPr bwMode="auto">
              <a:xfrm>
                <a:off x="9736748" y="5458558"/>
                <a:ext cx="933450" cy="1620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00" tIns="3600" rIns="3600" bIns="0" anchor="ctr" upright="1"/>
              <a:lstStyle/>
              <a:p>
                <a:pPr algn="l" rtl="0">
                  <a:defRPr sz="1000"/>
                </a:pPr>
                <a:r>
                  <a:rPr lang="de-CH" sz="800" b="1" i="0" u="none" strike="noStrike" baseline="0">
                    <a:solidFill>
                      <a:srgbClr val="000000"/>
                    </a:solidFill>
                    <a:latin typeface="Arial Narrow"/>
                  </a:rPr>
                  <a:t>  Zeile einfügen</a:t>
                </a:r>
              </a:p>
            </xdr:txBody>
          </xdr:sp>
          <xdr:sp macro="" textlink="">
            <xdr:nvSpPr>
              <xdr:cNvPr id="43346" name="Button 19794" hidden="1">
                <a:extLst>
                  <a:ext uri="{63B3BB69-23CF-44E3-9099-C40C66FF867C}">
                    <a14:compatExt spid="_x0000_s43346"/>
                  </a:ext>
                  <a:ext uri="{FF2B5EF4-FFF2-40B4-BE49-F238E27FC236}">
                    <a16:creationId xmlns:a16="http://schemas.microsoft.com/office/drawing/2014/main" id="{00000000-0008-0000-0200-000052A90000}"/>
                  </a:ext>
                </a:extLst>
              </xdr:cNvPr>
              <xdr:cNvSpPr/>
            </xdr:nvSpPr>
            <xdr:spPr bwMode="auto">
              <a:xfrm>
                <a:off x="9196021" y="5033596"/>
                <a:ext cx="1474177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18000" tIns="3600" rIns="3600" bIns="0" anchor="ctr" upright="1"/>
              <a:lstStyle/>
              <a:p>
                <a:pPr algn="l" rtl="0">
                  <a:defRPr sz="1000"/>
                </a:pPr>
                <a:r>
                  <a:rPr lang="de-CH" sz="900" b="1" i="0" u="none" strike="noStrike" baseline="0">
                    <a:solidFill>
                      <a:srgbClr val="0000FF"/>
                    </a:solidFill>
                    <a:latin typeface="Arial Narrow"/>
                  </a:rPr>
                  <a:t>Milchschafe </a:t>
                </a:r>
                <a:r>
                  <a:rPr lang="de-CH" sz="900" b="1" i="0" u="none" strike="noStrike" baseline="0">
                    <a:solidFill>
                      <a:srgbClr val="000000"/>
                    </a:solidFill>
                    <a:latin typeface="Arial Narrow"/>
                  </a:rPr>
                  <a:t>anzeigen</a:t>
                </a:r>
              </a:p>
            </xdr:txBody>
          </xdr:sp>
          <xdr:sp macro="" textlink="">
            <xdr:nvSpPr>
              <xdr:cNvPr id="43348" name="Button 19796" hidden="1">
                <a:extLst>
                  <a:ext uri="{63B3BB69-23CF-44E3-9099-C40C66FF867C}">
                    <a14:compatExt spid="_x0000_s43348"/>
                  </a:ext>
                  <a:ext uri="{FF2B5EF4-FFF2-40B4-BE49-F238E27FC236}">
                    <a16:creationId xmlns:a16="http://schemas.microsoft.com/office/drawing/2014/main" id="{00000000-0008-0000-0200-000054A90000}"/>
                  </a:ext>
                </a:extLst>
              </xdr:cNvPr>
              <xdr:cNvSpPr/>
            </xdr:nvSpPr>
            <xdr:spPr bwMode="auto">
              <a:xfrm>
                <a:off x="8117498" y="5249740"/>
                <a:ext cx="933450" cy="163391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00" tIns="3600" rIns="3600" bIns="0" anchor="ctr" upright="1"/>
              <a:lstStyle/>
              <a:p>
                <a:pPr algn="l" rtl="0">
                  <a:defRPr sz="1000"/>
                </a:pPr>
                <a:r>
                  <a:rPr lang="de-CH" sz="800" b="1" i="0" u="none" strike="noStrike" baseline="0">
                    <a:solidFill>
                      <a:srgbClr val="000000"/>
                    </a:solidFill>
                    <a:latin typeface="Arial Narrow"/>
                  </a:rPr>
                  <a:t>  ausblenden</a:t>
                </a:r>
              </a:p>
            </xdr:txBody>
          </xdr:sp>
          <xdr:sp macro="" textlink="">
            <xdr:nvSpPr>
              <xdr:cNvPr id="43349" name="Button 19797" hidden="1">
                <a:extLst>
                  <a:ext uri="{63B3BB69-23CF-44E3-9099-C40C66FF867C}">
                    <a14:compatExt spid="_x0000_s43349"/>
                  </a:ext>
                  <a:ext uri="{FF2B5EF4-FFF2-40B4-BE49-F238E27FC236}">
                    <a16:creationId xmlns:a16="http://schemas.microsoft.com/office/drawing/2014/main" id="{00000000-0008-0000-0200-000055A90000}"/>
                  </a:ext>
                </a:extLst>
              </xdr:cNvPr>
              <xdr:cNvSpPr/>
            </xdr:nvSpPr>
            <xdr:spPr bwMode="auto">
              <a:xfrm>
                <a:off x="9736748" y="5251938"/>
                <a:ext cx="933450" cy="163391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00" tIns="3600" rIns="3600" bIns="0" anchor="ctr" upright="1"/>
              <a:lstStyle/>
              <a:p>
                <a:pPr algn="l" rtl="0">
                  <a:defRPr sz="1000"/>
                </a:pPr>
                <a:r>
                  <a:rPr lang="de-CH" sz="800" b="1" i="0" u="none" strike="noStrike" baseline="0">
                    <a:solidFill>
                      <a:srgbClr val="000000"/>
                    </a:solidFill>
                    <a:latin typeface="Arial Narrow"/>
                  </a:rPr>
                  <a:t>  ausblenden</a:t>
                </a:r>
              </a:p>
            </xdr:txBody>
          </xdr:sp>
        </xdr:grp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53</xdr:row>
          <xdr:rowOff>152400</xdr:rowOff>
        </xdr:from>
        <xdr:to>
          <xdr:col>14</xdr:col>
          <xdr:colOff>809625</xdr:colOff>
          <xdr:row>55</xdr:row>
          <xdr:rowOff>114300</xdr:rowOff>
        </xdr:to>
        <xdr:sp macro="" textlink="">
          <xdr:nvSpPr>
            <xdr:cNvPr id="9267" name="Button 51" hidden="1">
              <a:extLst>
                <a:ext uri="{63B3BB69-23CF-44E3-9099-C40C66FF867C}">
                  <a14:compatExt spid="_x0000_s9267"/>
                </a:ext>
                <a:ext uri="{FF2B5EF4-FFF2-40B4-BE49-F238E27FC236}">
                  <a16:creationId xmlns:a16="http://schemas.microsoft.com/office/drawing/2014/main" id="{00000000-0008-0000-0300-00003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CH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Drucken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283</xdr:row>
      <xdr:rowOff>9525</xdr:rowOff>
    </xdr:from>
    <xdr:to>
      <xdr:col>11</xdr:col>
      <xdr:colOff>371475</xdr:colOff>
      <xdr:row>283</xdr:row>
      <xdr:rowOff>1990725</xdr:rowOff>
    </xdr:to>
    <xdr:sp macro="" textlink="">
      <xdr:nvSpPr>
        <xdr:cNvPr id="5132" name="Text Box 12">
          <a:extLst>
            <a:ext uri="{FF2B5EF4-FFF2-40B4-BE49-F238E27FC236}">
              <a16:creationId xmlns:a16="http://schemas.microsoft.com/office/drawing/2014/main" id="{00000000-0008-0000-0100-00000C140000}"/>
            </a:ext>
          </a:extLst>
        </xdr:cNvPr>
        <xdr:cNvSpPr txBox="1">
          <a:spLocks noChangeArrowheads="1"/>
        </xdr:cNvSpPr>
      </xdr:nvSpPr>
      <xdr:spPr bwMode="auto">
        <a:xfrm>
          <a:off x="19050" y="36299775"/>
          <a:ext cx="5772150" cy="1981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</xdr:spPr>
      <xdr:txBody>
        <a:bodyPr vertOverflow="clip" wrap="square" lIns="36000" tIns="46800" rIns="3600" bIns="46800" anchor="t" upright="1"/>
        <a:lstStyle/>
        <a:p>
          <a:pPr algn="l" rtl="0">
            <a:defRPr sz="1000"/>
          </a:pPr>
          <a:r>
            <a:rPr lang="de-CH" sz="1000" b="1" i="0" u="sng" strike="noStrike" baseline="0">
              <a:solidFill>
                <a:srgbClr val="0000FF"/>
              </a:solidFill>
              <a:latin typeface="Arial"/>
              <a:cs typeface="Arial"/>
            </a:rPr>
            <a:t>Massgebender Tierbestand:</a:t>
          </a:r>
          <a:r>
            <a:rPr lang="de-CH" sz="1000" b="1" i="0" u="none" strike="noStrike" baseline="0">
              <a:solidFill>
                <a:srgbClr val="0000FF"/>
              </a:solidFill>
              <a:latin typeface="Arial"/>
              <a:cs typeface="Arial"/>
            </a:rPr>
            <a:t>  </a:t>
          </a:r>
          <a:r>
            <a:rPr lang="de-CH" sz="1000" b="0" i="1" u="none" strike="noStrike" baseline="0">
              <a:solidFill>
                <a:srgbClr val="0000FF"/>
              </a:solidFill>
              <a:latin typeface="Arial"/>
              <a:cs typeface="Arial"/>
            </a:rPr>
            <a:t>( siehe Wegleitung Suisse-Bilanz, 2.8 Tierbestand und 3.1 Tierbestand)</a:t>
          </a:r>
        </a:p>
        <a:p>
          <a:pPr algn="l" rtl="0">
            <a:defRPr sz="1000"/>
          </a:pPr>
          <a:endParaRPr lang="de-CH" sz="400" b="0" i="0" u="none" strike="noStrike" baseline="0">
            <a:solidFill>
              <a:srgbClr val="0000FF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CH" sz="1000" b="0" i="0" u="none" strike="noStrike" baseline="0">
              <a:solidFill>
                <a:srgbClr val="0000FF"/>
              </a:solidFill>
              <a:latin typeface="Arial"/>
              <a:cs typeface="Arial"/>
            </a:rPr>
            <a:t>Massgebend für die Suisse-Bilanz sind jeweils die gehaltenen Tiere im </a:t>
          </a:r>
          <a:r>
            <a:rPr lang="de-CH" sz="1000" b="1" i="0" u="none" strike="noStrike" baseline="0">
              <a:solidFill>
                <a:srgbClr val="0000FF"/>
              </a:solidFill>
              <a:latin typeface="Arial"/>
              <a:cs typeface="Arial"/>
            </a:rPr>
            <a:t>Kalenderjahr</a:t>
          </a:r>
          <a:r>
            <a:rPr lang="de-CH" sz="1000" b="0" i="0" u="none" strike="noStrike" baseline="0">
              <a:solidFill>
                <a:srgbClr val="0000FF"/>
              </a:solidFill>
              <a:latin typeface="Arial"/>
              <a:cs typeface="Arial"/>
            </a:rPr>
            <a:t> (Rindvieh gemäss TVD; andere Tierkategorien Durchschnittsbestände)</a:t>
          </a:r>
          <a:r>
            <a:rPr lang="de-CH" sz="1000" b="1" i="0" u="none" strike="noStrike" baseline="0">
              <a:solidFill>
                <a:srgbClr val="0000FF"/>
              </a:solidFill>
              <a:latin typeface="Arial"/>
              <a:cs typeface="Arial"/>
            </a:rPr>
            <a:t>. </a:t>
          </a:r>
          <a:r>
            <a:rPr lang="de-CH" sz="1000" b="0" i="0" u="none" strike="noStrike" baseline="0">
              <a:solidFill>
                <a:srgbClr val="0000FF"/>
              </a:solidFill>
              <a:latin typeface="Arial"/>
              <a:cs typeface="Arial"/>
            </a:rPr>
            <a:t>Grosse Abweichungen vom Durchschnittsbestand müssen durch lückenloses Nachweisen belegt werden (z.B. Betriebsumstellungen, Rein-Raus-Verfahren).</a:t>
          </a:r>
        </a:p>
        <a:p>
          <a:pPr algn="l" rtl="0">
            <a:defRPr sz="1000"/>
          </a:pPr>
          <a:endParaRPr lang="de-CH" sz="400" b="0" i="0" u="none" strike="noStrike" baseline="0">
            <a:solidFill>
              <a:srgbClr val="0000FF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CH" sz="1000" b="0" i="0" u="none" strike="noStrike" baseline="0">
              <a:solidFill>
                <a:srgbClr val="0000FF"/>
              </a:solidFill>
              <a:latin typeface="Arial"/>
              <a:cs typeface="Arial"/>
            </a:rPr>
            <a:t>Für die </a:t>
          </a:r>
          <a:r>
            <a:rPr lang="de-CH" sz="1000" b="1" i="0" u="none" strike="noStrike" baseline="0">
              <a:solidFill>
                <a:srgbClr val="0000FF"/>
              </a:solidFill>
              <a:latin typeface="Arial"/>
              <a:cs typeface="Arial"/>
            </a:rPr>
            <a:t>Umrechnung der TVD-Tierkategorien</a:t>
          </a:r>
          <a:r>
            <a:rPr lang="de-CH" sz="1000" b="0" i="0" u="none" strike="noStrike" baseline="0">
              <a:solidFill>
                <a:srgbClr val="0000FF"/>
              </a:solidFill>
              <a:latin typeface="Arial"/>
              <a:cs typeface="Arial"/>
            </a:rPr>
            <a:t> in die Suisse-Bilanz-Kategorien kann die «Umrechnungshilfe zur Übernahme von TVD-Rindviehbeständen in die Suisse-Bilanz» (</a:t>
          </a:r>
          <a:r>
            <a:rPr lang="de-CH" sz="1000" b="1" i="0" u="none" strike="noStrike" baseline="0">
              <a:solidFill>
                <a:srgbClr val="0000FF"/>
              </a:solidFill>
              <a:latin typeface="Arial"/>
              <a:cs typeface="Arial"/>
            </a:rPr>
            <a:t>SuiBiTrans</a:t>
          </a:r>
          <a:r>
            <a:rPr lang="de-CH" sz="1000" b="0" i="0" u="none" strike="noStrike" baseline="0">
              <a:solidFill>
                <a:srgbClr val="0000FF"/>
              </a:solidFill>
              <a:latin typeface="Arial"/>
              <a:cs typeface="Arial"/>
            </a:rPr>
            <a:t>; </a:t>
          </a:r>
          <a:r>
            <a:rPr lang="de-CH" sz="1000" b="1" i="0" u="sng" strike="noStrike" baseline="0">
              <a:solidFill>
                <a:srgbClr val="0000FF"/>
              </a:solidFill>
              <a:latin typeface="Arial"/>
              <a:cs typeface="Arial"/>
            </a:rPr>
            <a:t>www.blw.admin.ch</a:t>
          </a:r>
          <a:r>
            <a:rPr lang="de-CH" sz="1000" b="0" i="0" u="none" strike="noStrike" baseline="0">
              <a:solidFill>
                <a:srgbClr val="0000FF"/>
              </a:solidFill>
              <a:latin typeface="Arial"/>
              <a:cs typeface="Arial"/>
            </a:rPr>
            <a:t> &gt; Instrumente &gt; Direktzahlungen &gt; Ökologischer Leistungsnachweis &gt; ausgeglichene Düngerbilanz &gt; rechtliche Grundlagen) verwendet werden.</a:t>
          </a:r>
        </a:p>
        <a:p>
          <a:pPr algn="l" rtl="0">
            <a:defRPr sz="1000"/>
          </a:pPr>
          <a:endParaRPr lang="de-CH" sz="400" b="0" i="0" u="none" strike="noStrike" baseline="0">
            <a:solidFill>
              <a:srgbClr val="0000FF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CH" sz="1000" b="1" i="0" u="none" strike="noStrike" baseline="0">
              <a:solidFill>
                <a:srgbClr val="0000FF"/>
              </a:solidFill>
              <a:latin typeface="Arial"/>
              <a:cs typeface="Arial"/>
            </a:rPr>
            <a:t>Mastpoulet</a:t>
          </a:r>
          <a:r>
            <a:rPr lang="de-CH" sz="1000" b="0" i="0" u="none" strike="noStrike" baseline="0">
              <a:solidFill>
                <a:srgbClr val="0000FF"/>
              </a:solidFill>
              <a:latin typeface="Arial"/>
              <a:cs typeface="Arial"/>
            </a:rPr>
            <a:t> -&gt; siehe bei Geflügel (weiter unten)</a:t>
          </a:r>
          <a:endParaRPr lang="de-CH"/>
        </a:p>
      </xdr:txBody>
    </xdr:sp>
    <xdr:clientData/>
  </xdr:twoCellAnchor>
  <xdr:twoCellAnchor editAs="oneCell">
    <xdr:from>
      <xdr:col>4</xdr:col>
      <xdr:colOff>9525</xdr:colOff>
      <xdr:row>354</xdr:row>
      <xdr:rowOff>219075</xdr:rowOff>
    </xdr:from>
    <xdr:to>
      <xdr:col>11</xdr:col>
      <xdr:colOff>371475</xdr:colOff>
      <xdr:row>354</xdr:row>
      <xdr:rowOff>1838325</xdr:rowOff>
    </xdr:to>
    <xdr:sp macro="" textlink="">
      <xdr:nvSpPr>
        <xdr:cNvPr id="5133" name="Text Box 13">
          <a:extLst>
            <a:ext uri="{FF2B5EF4-FFF2-40B4-BE49-F238E27FC236}">
              <a16:creationId xmlns:a16="http://schemas.microsoft.com/office/drawing/2014/main" id="{00000000-0008-0000-0100-00000D140000}"/>
            </a:ext>
          </a:extLst>
        </xdr:cNvPr>
        <xdr:cNvSpPr txBox="1">
          <a:spLocks noChangeArrowheads="1"/>
        </xdr:cNvSpPr>
      </xdr:nvSpPr>
      <xdr:spPr bwMode="auto">
        <a:xfrm>
          <a:off x="9525" y="49034700"/>
          <a:ext cx="5781675" cy="1619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</xdr:spPr>
      <xdr:txBody>
        <a:bodyPr vertOverflow="clip" wrap="square" lIns="46800" tIns="46800" rIns="36000" bIns="46800" anchor="t" upright="1"/>
        <a:lstStyle/>
        <a:p>
          <a:pPr algn="l" rtl="0">
            <a:defRPr sz="1000"/>
          </a:pPr>
          <a:r>
            <a:rPr lang="de-CH" sz="1000" b="1" i="0" u="sng" strike="noStrike" baseline="0">
              <a:solidFill>
                <a:srgbClr val="0000FF"/>
              </a:solidFill>
              <a:latin typeface="Arial"/>
              <a:cs typeface="Arial"/>
            </a:rPr>
            <a:t>Massgebender Tierbestand Mastpoulethaltung</a:t>
          </a:r>
          <a:r>
            <a:rPr lang="de-CH" sz="1000" b="0" i="0" u="none" strike="noStrike" baseline="0">
              <a:solidFill>
                <a:srgbClr val="0000FF"/>
              </a:solidFill>
              <a:latin typeface="Arial"/>
              <a:cs typeface="Arial"/>
            </a:rPr>
            <a:t> (</a:t>
          </a:r>
          <a:r>
            <a:rPr lang="de-CH" sz="1000" b="0" i="1" u="none" strike="noStrike" baseline="0">
              <a:solidFill>
                <a:srgbClr val="0000FF"/>
              </a:solidFill>
              <a:latin typeface="Arial"/>
              <a:cs typeface="Arial"/>
            </a:rPr>
            <a:t>siehe Wegleitung Suisse-Bilanz, 2.8 Tierbestand</a:t>
          </a:r>
          <a:r>
            <a:rPr lang="de-CH" sz="1000" b="0" i="0" u="none" strike="noStrike" baseline="0">
              <a:solidFill>
                <a:srgbClr val="0000FF"/>
              </a:solidFill>
              <a:latin typeface="Arial"/>
              <a:cs typeface="Arial"/>
            </a:rPr>
            <a:t>) </a:t>
          </a:r>
        </a:p>
        <a:p>
          <a:pPr algn="l" rtl="0">
            <a:defRPr sz="1000"/>
          </a:pPr>
          <a:endParaRPr lang="de-CH" sz="1000" b="0" i="0" u="none" strike="noStrike" baseline="0">
            <a:solidFill>
              <a:srgbClr val="0000FF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CH" sz="1000" b="0" i="0" u="none" strike="noStrike" baseline="0">
              <a:solidFill>
                <a:srgbClr val="0000FF"/>
              </a:solidFill>
              <a:latin typeface="Arial"/>
              <a:cs typeface="Arial"/>
            </a:rPr>
            <a:t>In der </a:t>
          </a:r>
          <a:r>
            <a:rPr lang="de-CH" sz="1000" b="1" i="0" u="none" strike="noStrike" baseline="0">
              <a:solidFill>
                <a:srgbClr val="0000FF"/>
              </a:solidFill>
              <a:latin typeface="Arial"/>
              <a:cs typeface="Arial"/>
            </a:rPr>
            <a:t>Impex im Modul Mastpoulets</a:t>
          </a:r>
          <a:r>
            <a:rPr lang="de-CH" sz="1000" b="0" i="0" u="none" strike="noStrike" baseline="0">
              <a:solidFill>
                <a:srgbClr val="0000FF"/>
              </a:solidFill>
              <a:latin typeface="Arial"/>
              <a:cs typeface="Arial"/>
            </a:rPr>
            <a:t> wird der </a:t>
          </a:r>
          <a:r>
            <a:rPr lang="de-CH" sz="1000" b="1" i="0" u="none" strike="noStrike" baseline="0">
              <a:solidFill>
                <a:srgbClr val="0000FF"/>
              </a:solidFill>
              <a:latin typeface="Arial"/>
              <a:cs typeface="Arial"/>
            </a:rPr>
            <a:t>Durchschnittsbestand</a:t>
          </a:r>
          <a:r>
            <a:rPr lang="de-CH" sz="1000" b="0" i="0" u="none" strike="noStrike" baseline="0">
              <a:solidFill>
                <a:srgbClr val="0000FF"/>
              </a:solidFill>
              <a:latin typeface="Arial"/>
              <a:cs typeface="Arial"/>
            </a:rPr>
            <a:t> </a:t>
          </a:r>
          <a:r>
            <a:rPr lang="de-CH" sz="1000" b="1" i="0" u="sng" strike="noStrike" baseline="0">
              <a:solidFill>
                <a:srgbClr val="0000FF"/>
              </a:solidFill>
              <a:latin typeface="Arial"/>
              <a:cs typeface="Arial"/>
            </a:rPr>
            <a:t>und</a:t>
          </a:r>
          <a:r>
            <a:rPr lang="de-CH" sz="1000" b="0" i="0" u="none" strike="noStrike" baseline="0">
              <a:solidFill>
                <a:srgbClr val="0000FF"/>
              </a:solidFill>
              <a:latin typeface="Arial"/>
              <a:cs typeface="Arial"/>
            </a:rPr>
            <a:t> der </a:t>
          </a:r>
          <a:r>
            <a:rPr lang="de-CH" sz="1000" b="1" i="0" u="none" strike="noStrike" baseline="0">
              <a:solidFill>
                <a:srgbClr val="0000FF"/>
              </a:solidFill>
              <a:latin typeface="Arial"/>
              <a:cs typeface="Arial"/>
            </a:rPr>
            <a:t>Nährstoffanfall</a:t>
          </a:r>
          <a:r>
            <a:rPr lang="de-CH" sz="1000" b="0" i="0" u="none" strike="noStrike" baseline="0">
              <a:solidFill>
                <a:srgbClr val="0000FF"/>
              </a:solidFill>
              <a:latin typeface="Arial"/>
              <a:cs typeface="Arial"/>
            </a:rPr>
            <a:t> berechnet (</a:t>
          </a:r>
          <a:r>
            <a:rPr lang="de-CH" sz="1000" b="0" i="0" u="none" strike="noStrike" baseline="0">
              <a:solidFill>
                <a:srgbClr val="0000FF"/>
              </a:solidFill>
              <a:latin typeface="Arial Narrow"/>
              <a:cs typeface="Arial"/>
            </a:rPr>
            <a:t>siehe </a:t>
          </a:r>
          <a:r>
            <a:rPr lang="de-CH" sz="1000" b="1" i="0" u="none" strike="noStrike" baseline="0">
              <a:solidFill>
                <a:srgbClr val="0000FF"/>
              </a:solidFill>
              <a:latin typeface="Arial Narrow"/>
              <a:cs typeface="Arial"/>
            </a:rPr>
            <a:t>www.blw.admin.ch</a:t>
          </a:r>
          <a:r>
            <a:rPr lang="de-CH" sz="1000" b="0" i="0" u="none" strike="noStrike" baseline="0">
              <a:solidFill>
                <a:srgbClr val="0000FF"/>
              </a:solidFill>
              <a:latin typeface="Arial Narrow"/>
              <a:cs typeface="Arial"/>
            </a:rPr>
            <a:t> &gt; Instrumente &gt; Direktzahlungen  &gt; Ökologischer Leistungsnachweis &gt; ausgeglichene Düngerbilanz &gt; rechtliche Grundlagen</a:t>
          </a:r>
          <a:r>
            <a:rPr lang="de-CH" sz="1000" b="0" i="0" u="none" strike="noStrike" baseline="0">
              <a:solidFill>
                <a:srgbClr val="0000FF"/>
              </a:solidFill>
              <a:latin typeface="Arial"/>
              <a:cs typeface="Arial"/>
            </a:rPr>
            <a:t>). Die Berechnungsperiode ist das </a:t>
          </a:r>
          <a:r>
            <a:rPr lang="de-CH" sz="1000" b="1" i="0" u="none" strike="noStrike" baseline="0">
              <a:solidFill>
                <a:srgbClr val="0000FF"/>
              </a:solidFill>
              <a:latin typeface="Arial"/>
              <a:cs typeface="Arial"/>
            </a:rPr>
            <a:t>Kalenderjahr</a:t>
          </a:r>
          <a:r>
            <a:rPr lang="de-CH" sz="1000" b="0" i="0" u="none" strike="noStrike" baseline="0">
              <a:solidFill>
                <a:srgbClr val="0000FF"/>
              </a:solidFill>
              <a:latin typeface="Arial"/>
              <a:cs typeface="Arial"/>
            </a:rPr>
            <a:t>. Die Nährstoffmengen sind dann in die Suisse-Bilanz zu übernehmen (in SB... grauen Knopf "Zeile für Übertrag aus I/E-Bilanz" verwenden). </a:t>
          </a:r>
        </a:p>
        <a:p>
          <a:pPr algn="l" rtl="0">
            <a:defRPr sz="1000"/>
          </a:pPr>
          <a:endParaRPr lang="de-CH" sz="1000" b="0" i="0" u="none" strike="noStrike" baseline="0">
            <a:solidFill>
              <a:srgbClr val="0000FF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CH" sz="1000" b="0" i="0" u="none" strike="noStrike" baseline="0">
              <a:solidFill>
                <a:srgbClr val="0000FF"/>
              </a:solidFill>
              <a:latin typeface="Arial"/>
              <a:cs typeface="Arial"/>
            </a:rPr>
            <a:t>Betriebe mit einem </a:t>
          </a:r>
          <a:r>
            <a:rPr lang="de-CH" sz="1000" b="1" i="0" u="none" strike="noStrike" baseline="0">
              <a:solidFill>
                <a:srgbClr val="0000FF"/>
              </a:solidFill>
              <a:latin typeface="Arial"/>
              <a:cs typeface="Arial"/>
            </a:rPr>
            <a:t>Durchschnittsbestand unter 3000 Poulets</a:t>
          </a:r>
          <a:r>
            <a:rPr lang="de-CH" sz="1000" b="0" i="0" u="none" strike="noStrike" baseline="0">
              <a:solidFill>
                <a:srgbClr val="0000FF"/>
              </a:solidFill>
              <a:latin typeface="Arial"/>
              <a:cs typeface="Arial"/>
            </a:rPr>
            <a:t> können alternativ den Nährstoffanfall aufgrund der Stanardwerte (Tab. oben) und des Durchschnittbestandes nach Impex im Modul Mastpoulets anrechnen.   </a:t>
          </a:r>
          <a:endParaRPr lang="de-CH"/>
        </a:p>
      </xdr:txBody>
    </xdr:sp>
    <xdr:clientData/>
  </xdr:twoCellAnchor>
  <xdr:twoCellAnchor editAs="oneCell">
    <xdr:from>
      <xdr:col>18</xdr:col>
      <xdr:colOff>103187</xdr:colOff>
      <xdr:row>354</xdr:row>
      <xdr:rowOff>219075</xdr:rowOff>
    </xdr:from>
    <xdr:to>
      <xdr:col>23</xdr:col>
      <xdr:colOff>758148</xdr:colOff>
      <xdr:row>354</xdr:row>
      <xdr:rowOff>581025</xdr:rowOff>
    </xdr:to>
    <xdr:sp macro="" textlink="">
      <xdr:nvSpPr>
        <xdr:cNvPr id="5135" name="Text Box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F140000}"/>
            </a:ext>
          </a:extLst>
        </xdr:cNvPr>
        <xdr:cNvSpPr txBox="1">
          <a:spLocks noChangeArrowheads="1"/>
        </xdr:cNvSpPr>
      </xdr:nvSpPr>
      <xdr:spPr bwMode="auto">
        <a:xfrm>
          <a:off x="12549187" y="49098200"/>
          <a:ext cx="4496711" cy="361950"/>
        </a:xfrm>
        <a:prstGeom prst="rect">
          <a:avLst/>
        </a:prstGeom>
        <a:solidFill>
          <a:srgbClr val="FFCC9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scene3d>
          <a:camera prst="orthographicFront"/>
          <a:lightRig rig="threePt" dir="t"/>
        </a:scene3d>
        <a:sp3d>
          <a:bevelT w="165100" prst="coolSlant"/>
        </a:sp3d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de-CH">
              <a:solidFill>
                <a:srgbClr val="0000FF"/>
              </a:solidFill>
              <a:latin typeface="Arial Narrow" panose="020B0506020202030204" pitchFamily="34" charset="0"/>
            </a:rPr>
            <a:t>https://www.blw.admin.ch/blw/de/home/instrumente/direktzahlungen/oekologischer-leistungsnachweis/ausgeglichene-duengerbilanz.html</a:t>
          </a:r>
        </a:p>
      </xdr:txBody>
    </xdr:sp>
    <xdr:clientData fPrintsWithSheet="0"/>
  </xdr:twoCellAnchor>
  <xdr:twoCellAnchor editAs="oneCell">
    <xdr:from>
      <xdr:col>18</xdr:col>
      <xdr:colOff>127000</xdr:colOff>
      <xdr:row>354</xdr:row>
      <xdr:rowOff>1333500</xdr:rowOff>
    </xdr:from>
    <xdr:to>
      <xdr:col>23</xdr:col>
      <xdr:colOff>758150</xdr:colOff>
      <xdr:row>354</xdr:row>
      <xdr:rowOff>1695450</xdr:rowOff>
    </xdr:to>
    <xdr:sp macro="" textlink="">
      <xdr:nvSpPr>
        <xdr:cNvPr id="5136" name="Text Box 1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10140000}"/>
            </a:ext>
          </a:extLst>
        </xdr:cNvPr>
        <xdr:cNvSpPr txBox="1">
          <a:spLocks noChangeArrowheads="1"/>
        </xdr:cNvSpPr>
      </xdr:nvSpPr>
      <xdr:spPr bwMode="auto">
        <a:xfrm>
          <a:off x="12573000" y="50212625"/>
          <a:ext cx="4472900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scene3d>
          <a:camera prst="orthographicFront"/>
          <a:lightRig rig="threePt" dir="t"/>
        </a:scene3d>
        <a:sp3d>
          <a:bevelT w="165100" prst="coolSlant"/>
        </a:sp3d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de-CH" sz="1000" b="0" i="0" u="sng" strike="noStrike" baseline="0">
              <a:solidFill>
                <a:srgbClr val="0000FF"/>
              </a:solidFill>
              <a:latin typeface="Arial Narrow" panose="020B0506020202030204" pitchFamily="34" charset="0"/>
            </a:rPr>
            <a:t>http://www.agridea.ch/de/software</a:t>
          </a:r>
          <a:endParaRPr lang="de-CH">
            <a:solidFill>
              <a:srgbClr val="0000FF"/>
            </a:solidFill>
            <a:latin typeface="Arial Narrow" panose="020B0506020202030204" pitchFamily="34" charset="0"/>
          </a:endParaRPr>
        </a:p>
      </xdr:txBody>
    </xdr:sp>
    <xdr:clientData fPrintsWithSheet="0"/>
  </xdr:twoCellAnchor>
  <xdr:twoCellAnchor editAs="oneCell">
    <xdr:from>
      <xdr:col>14</xdr:col>
      <xdr:colOff>57149</xdr:colOff>
      <xdr:row>283</xdr:row>
      <xdr:rowOff>523875</xdr:rowOff>
    </xdr:from>
    <xdr:to>
      <xdr:col>19</xdr:col>
      <xdr:colOff>466274</xdr:colOff>
      <xdr:row>283</xdr:row>
      <xdr:rowOff>828675</xdr:rowOff>
    </xdr:to>
    <xdr:sp macro="" textlink="">
      <xdr:nvSpPr>
        <xdr:cNvPr id="5139" name="Text Box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13140000}"/>
            </a:ext>
          </a:extLst>
        </xdr:cNvPr>
        <xdr:cNvSpPr txBox="1">
          <a:spLocks noChangeArrowheads="1"/>
        </xdr:cNvSpPr>
      </xdr:nvSpPr>
      <xdr:spPr bwMode="auto">
        <a:xfrm>
          <a:off x="9947274" y="36052125"/>
          <a:ext cx="3600000" cy="304800"/>
        </a:xfrm>
        <a:prstGeom prst="rect">
          <a:avLst/>
        </a:prstGeom>
        <a:solidFill>
          <a:schemeClr val="bg1">
            <a:lumMod val="85000"/>
          </a:schemeClr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txBody>
        <a:bodyPr vertOverflow="clip" wrap="square" lIns="27432" tIns="22860" rIns="0" bIns="0" anchor="ctr" upright="1"/>
        <a:lstStyle/>
        <a:p>
          <a:pPr algn="ctr" rtl="1">
            <a:defRPr sz="1000"/>
          </a:pPr>
          <a:r>
            <a:rPr lang="de-CH" sz="1000" b="0" i="0" u="sng" strike="noStrike" baseline="0">
              <a:solidFill>
                <a:srgbClr val="0000FF"/>
              </a:solidFill>
              <a:latin typeface="Arial Narrow"/>
            </a:rPr>
            <a:t>http://www.blw.admin.ch/themen/00006/00049/01163/index.html?lang=de</a:t>
          </a:r>
          <a:endParaRPr lang="de-CH"/>
        </a:p>
      </xdr:txBody>
    </xdr:sp>
    <xdr:clientData fPrintsWithSheet="0"/>
  </xdr:twoCellAnchor>
  <xdr:twoCellAnchor editAs="oneCell">
    <xdr:from>
      <xdr:col>14</xdr:col>
      <xdr:colOff>65086</xdr:colOff>
      <xdr:row>283</xdr:row>
      <xdr:rowOff>523875</xdr:rowOff>
    </xdr:from>
    <xdr:to>
      <xdr:col>23</xdr:col>
      <xdr:colOff>658813</xdr:colOff>
      <xdr:row>283</xdr:row>
      <xdr:rowOff>828675</xdr:rowOff>
    </xdr:to>
    <xdr:sp macro="" textlink="">
      <xdr:nvSpPr>
        <xdr:cNvPr id="8" name="Text Box 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10113961" y="37155438"/>
          <a:ext cx="6832602" cy="304800"/>
        </a:xfrm>
        <a:prstGeom prst="rect">
          <a:avLst/>
        </a:prstGeom>
        <a:solidFill>
          <a:schemeClr val="bg1">
            <a:lumMod val="85000"/>
          </a:schemeClr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txBody>
        <a:bodyPr vertOverflow="clip" wrap="square" lIns="27432" tIns="22860" rIns="0" bIns="0" anchor="ctr" upright="1"/>
        <a:lstStyle/>
        <a:p>
          <a:pPr algn="ctr" rtl="1">
            <a:defRPr sz="1000"/>
          </a:pPr>
          <a:r>
            <a:rPr lang="de-CH">
              <a:latin typeface="Arial Narrow" panose="020B0506020202030204" pitchFamily="34" charset="0"/>
            </a:rPr>
            <a:t>https://www.blw.admin.ch/blw/de/home/instrumente/direktzahlungen/oekologischer-leistungsnachweis/ausgeglichene-duengerbilanz.htm</a:t>
          </a: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21</xdr:col>
      <xdr:colOff>169545</xdr:colOff>
      <xdr:row>0</xdr:row>
      <xdr:rowOff>76200</xdr:rowOff>
    </xdr:from>
    <xdr:to>
      <xdr:col>26</xdr:col>
      <xdr:colOff>792480</xdr:colOff>
      <xdr:row>19</xdr:row>
      <xdr:rowOff>133350</xdr:rowOff>
    </xdr:to>
    <xdr:sp macro="" textlink="">
      <xdr:nvSpPr>
        <xdr:cNvPr id="4098" name="Text Box 2">
          <a:extLst>
            <a:ext uri="{FF2B5EF4-FFF2-40B4-BE49-F238E27FC236}">
              <a16:creationId xmlns:a16="http://schemas.microsoft.com/office/drawing/2014/main" id="{00000000-0008-0000-0400-000002100000}"/>
            </a:ext>
          </a:extLst>
        </xdr:cNvPr>
        <xdr:cNvSpPr txBox="1">
          <a:spLocks noChangeArrowheads="1"/>
        </xdr:cNvSpPr>
      </xdr:nvSpPr>
      <xdr:spPr bwMode="auto">
        <a:xfrm>
          <a:off x="12232005" y="76200"/>
          <a:ext cx="5233035" cy="3463290"/>
        </a:xfrm>
        <a:prstGeom prst="rect">
          <a:avLst/>
        </a:prstGeom>
        <a:solidFill>
          <a:srgbClr val="FFCC66"/>
        </a:solidFill>
        <a:ln w="9525">
          <a:noFill/>
          <a:miter lim="800000"/>
          <a:headEnd/>
          <a:tailEnd/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Hinweise  -  in jedem Fall zu beachten </a:t>
          </a:r>
        </a:p>
        <a:p>
          <a:pPr algn="l" rtl="0">
            <a:defRPr sz="1000"/>
          </a:pPr>
          <a:endParaRPr lang="de-CH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CH" sz="1000" b="1" i="0" u="none" strike="noStrike" baseline="0">
              <a:solidFill>
                <a:srgbClr val="0000FF"/>
              </a:solidFill>
              <a:latin typeface="Arial"/>
              <a:cs typeface="Arial"/>
            </a:rPr>
            <a:t> - mit der Tabulator-Taste zu den Eingabe-Zellen springen</a:t>
          </a:r>
          <a:r>
            <a:rPr lang="de-CH" sz="1000" b="0" i="0" u="none" strike="noStrike" baseline="0">
              <a:solidFill>
                <a:srgbClr val="0000FF"/>
              </a:solidFill>
              <a:latin typeface="Arial"/>
              <a:cs typeface="Arial"/>
            </a:rPr>
            <a:t> (ungesperrte Zellen)</a:t>
          </a: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de-CH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CH" sz="10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 - In der Spalte "Tierkategorie" die gewünschte Kategorie aus der Liste auswählen</a:t>
          </a:r>
        </a:p>
        <a:p>
          <a:pPr algn="l" rtl="0">
            <a:defRPr sz="1000"/>
          </a:pPr>
          <a:r>
            <a:rPr lang="de-CH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(-&gt; in der Zelle links davon erscheint dann die Abk. für die gewünschte Tierkategorie) </a:t>
          </a:r>
          <a:endParaRPr lang="de-CH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- in den</a:t>
          </a:r>
          <a:r>
            <a:rPr lang="de-CH" sz="1000" b="0" i="0" u="none" strike="noStrike" baseline="0">
              <a:solidFill>
                <a:srgbClr val="424242"/>
              </a:solidFill>
              <a:latin typeface="Arial"/>
              <a:cs typeface="Arial"/>
            </a:rPr>
            <a:t> </a:t>
          </a:r>
          <a:r>
            <a:rPr lang="de-CH" sz="1000" b="1" i="0" u="sng" strike="noStrike" baseline="0">
              <a:solidFill>
                <a:sysClr val="windowText" lastClr="000000"/>
              </a:solidFill>
              <a:latin typeface="Arial"/>
              <a:cs typeface="Arial"/>
            </a:rPr>
            <a:t>hell-gelb</a:t>
          </a:r>
          <a:r>
            <a:rPr lang="de-CH" sz="1000" b="0" i="0" u="none" strike="noStrike" baseline="0">
              <a:solidFill>
                <a:srgbClr val="424242"/>
              </a:solidFill>
              <a:latin typeface="Arial"/>
              <a:cs typeface="Arial"/>
            </a:rPr>
            <a:t> </a:t>
          </a: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markierten Zellen die </a:t>
          </a:r>
          <a:r>
            <a:rPr lang="de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effektiven mittleren Futtergehalte</a:t>
          </a: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de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gemäss </a:t>
          </a:r>
        </a:p>
        <a:p>
          <a:pPr algn="l" rtl="0">
            <a:defRPr sz="1000"/>
          </a:pPr>
          <a:r>
            <a:rPr lang="de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Berechnung mit </a:t>
          </a:r>
          <a:r>
            <a:rPr lang="de-CH" sz="10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Zusatzmodul 6 </a:t>
          </a:r>
          <a:r>
            <a:rPr lang="de-CH" sz="10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(www.agridea.ch &gt; software &gt; downloads &gt; </a:t>
          </a:r>
        </a:p>
        <a:p>
          <a:pPr algn="l" rtl="0">
            <a:defRPr sz="1000"/>
          </a:pPr>
          <a:r>
            <a:rPr lang="de-CH" sz="10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   IMPEX-LINEAR) </a:t>
          </a: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bei der entsprechenden Tierkategorie eingeben (</a:t>
          </a:r>
          <a:r>
            <a:rPr lang="de-CH" sz="1000" b="0" i="0" u="none" strike="noStrike" baseline="0">
              <a:solidFill>
                <a:srgbClr val="000000"/>
              </a:solidFill>
              <a:latin typeface="Arial Narrow"/>
              <a:cs typeface="Arial"/>
            </a:rPr>
            <a:t>für die Kategorie </a:t>
          </a:r>
        </a:p>
        <a:p>
          <a:pPr algn="l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  <a:cs typeface="Arial"/>
            </a:rPr>
            <a:t>     "Zuchtschweine inkl. Ferkel bis 26 kg" können die durchschnittlichen Gehalte am Ende der Liste berechnet </a:t>
          </a:r>
        </a:p>
        <a:p>
          <a:pPr algn="l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  <a:cs typeface="Arial"/>
            </a:rPr>
            <a:t>      werden) </a:t>
          </a: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- Tabelle "Lineare Korrektur" ausdrucken und zusammen mit der Suisse-Bilanz</a:t>
          </a:r>
        </a:p>
        <a:p>
          <a:pPr algn="l" rtl="0">
            <a:defRPr sz="1000"/>
          </a:pPr>
          <a:r>
            <a:rPr lang="de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und den Unterlagen zu Modul 6 ausweisen </a:t>
          </a:r>
        </a:p>
        <a:p>
          <a:pPr algn="l" rtl="0"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CH" sz="1000" b="0" i="0" u="none" strike="noStrike" baseline="0">
              <a:solidFill>
                <a:srgbClr val="0000FF"/>
              </a:solidFill>
              <a:latin typeface="Arial"/>
              <a:cs typeface="Arial"/>
            </a:rPr>
            <a:t> - in Tabelle "Suisse_Bilanz_..." erscheinen die betriebsspezifischen Tierkategorien (LK 1-8)</a:t>
          </a:r>
        </a:p>
        <a:p>
          <a:pPr algn="l" rtl="0">
            <a:defRPr sz="1000"/>
          </a:pPr>
          <a:r>
            <a:rPr lang="de-CH" sz="1000" b="0" i="0" u="none" strike="noStrike" baseline="0">
              <a:solidFill>
                <a:srgbClr val="0000FF"/>
              </a:solidFill>
              <a:latin typeface="Arial"/>
              <a:cs typeface="Arial"/>
            </a:rPr>
            <a:t>          in der Auswahlliste ( -&gt; auswählen und die Anzahl Plätze, etc. eingeben) </a:t>
          </a:r>
        </a:p>
        <a:p>
          <a:pPr algn="l" rtl="0">
            <a:defRPr sz="1000"/>
          </a:pPr>
          <a:r>
            <a:rPr lang="de-CH" sz="1000" b="1" i="0" u="none" strike="noStrike" baseline="0">
              <a:solidFill>
                <a:srgbClr val="0000FF"/>
              </a:solidFill>
              <a:latin typeface="Arial"/>
              <a:cs typeface="Arial"/>
            </a:rPr>
            <a:t>  </a:t>
          </a:r>
          <a:r>
            <a:rPr lang="de-CH" sz="1000" b="1" i="1" u="none" strike="noStrike" baseline="0">
              <a:solidFill>
                <a:srgbClr val="0000FF"/>
              </a:solidFill>
              <a:latin typeface="Arial"/>
              <a:cs typeface="Arial"/>
            </a:rPr>
            <a:t> </a:t>
          </a:r>
          <a:r>
            <a:rPr lang="de-CH" sz="1000" b="1" i="1" u="none" strike="noStrike" baseline="0">
              <a:solidFill>
                <a:srgbClr val="800080"/>
              </a:solidFill>
              <a:latin typeface="Arial"/>
              <a:cs typeface="Arial"/>
            </a:rPr>
            <a:t>   Hinweis: Werden die Futtergehalte geändert, ergibt sich eine andere "Kategorie" </a:t>
          </a:r>
        </a:p>
        <a:p>
          <a:pPr algn="l" rtl="0">
            <a:defRPr sz="1000"/>
          </a:pPr>
          <a:r>
            <a:rPr lang="de-CH" sz="1000" b="1" i="1" u="none" strike="noStrike" baseline="0">
              <a:solidFill>
                <a:srgbClr val="800080"/>
              </a:solidFill>
              <a:latin typeface="Arial"/>
              <a:cs typeface="Arial"/>
            </a:rPr>
            <a:t>                    -&gt; in Tab."Suisse_Bilanz_..." ist dann die Kategorie wieder auszuwählen </a:t>
          </a:r>
          <a:endParaRPr lang="de-CH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de-CH"/>
        </a:p>
      </xdr:txBody>
    </xdr:sp>
    <xdr:clientData fPrintsWithSheet="0"/>
  </xdr:twoCellAnchor>
  <xdr:twoCellAnchor editAs="oneCell">
    <xdr:from>
      <xdr:col>2</xdr:col>
      <xdr:colOff>2000250</xdr:colOff>
      <xdr:row>0</xdr:row>
      <xdr:rowOff>30480</xdr:rowOff>
    </xdr:from>
    <xdr:to>
      <xdr:col>8</xdr:col>
      <xdr:colOff>30480</xdr:colOff>
      <xdr:row>1</xdr:row>
      <xdr:rowOff>180974</xdr:rowOff>
    </xdr:to>
    <xdr:sp macro="" textlink="">
      <xdr:nvSpPr>
        <xdr:cNvPr id="4138" name="Text Box 42">
          <a:extLst>
            <a:ext uri="{FF2B5EF4-FFF2-40B4-BE49-F238E27FC236}">
              <a16:creationId xmlns:a16="http://schemas.microsoft.com/office/drawing/2014/main" id="{00000000-0008-0000-0400-00002A100000}"/>
            </a:ext>
          </a:extLst>
        </xdr:cNvPr>
        <xdr:cNvSpPr txBox="1">
          <a:spLocks noChangeArrowheads="1"/>
        </xdr:cNvSpPr>
      </xdr:nvSpPr>
      <xdr:spPr bwMode="auto">
        <a:xfrm>
          <a:off x="3097530" y="30480"/>
          <a:ext cx="3181350" cy="379094"/>
        </a:xfrm>
        <a:prstGeom prst="rect">
          <a:avLst/>
        </a:prstGeom>
        <a:solidFill>
          <a:srgbClr val="FFCC66"/>
        </a:solidFill>
        <a:ln w="9525">
          <a:noFill/>
          <a:round/>
          <a:headEnd/>
          <a:tailEnd/>
        </a:ln>
        <a:effectLst>
          <a:softEdge rad="0"/>
        </a:effectLst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de-CH" sz="1000" b="1" i="0" u="none" strike="noStrike" baseline="0">
              <a:solidFill>
                <a:srgbClr val="0000FF"/>
              </a:solidFill>
              <a:latin typeface="MS Sans Serif"/>
            </a:rPr>
            <a:t>Anleitung + Hinweise weiter rechts beachten</a:t>
          </a:r>
          <a:endParaRPr lang="de-CH" sz="1000" b="0" i="0" u="none" strike="noStrike" baseline="0">
            <a:solidFill>
              <a:srgbClr val="0000FF"/>
            </a:solidFill>
            <a:latin typeface="MS Sans Serif"/>
          </a:endParaRPr>
        </a:p>
        <a:p>
          <a:pPr algn="ctr" rtl="0">
            <a:lnSpc>
              <a:spcPts val="1100"/>
            </a:lnSpc>
            <a:defRPr sz="1000"/>
          </a:pPr>
          <a:r>
            <a:rPr lang="de-CH" sz="1000" b="0" i="0" u="none" strike="noStrike" baseline="0">
              <a:solidFill>
                <a:srgbClr val="800000"/>
              </a:solidFill>
              <a:latin typeface="MS Sans Serif"/>
            </a:rPr>
            <a:t>mit Tabulator-Taste vorwärtsspringen</a:t>
          </a:r>
          <a:endParaRPr lang="de-CH"/>
        </a:p>
      </xdr:txBody>
    </xdr:sp>
    <xdr:clientData fPrintsWithSheet="0"/>
  </xdr:twoCellAnchor>
  <xdr:twoCellAnchor editAs="absolute">
    <xdr:from>
      <xdr:col>21</xdr:col>
      <xdr:colOff>179070</xdr:colOff>
      <xdr:row>20</xdr:row>
      <xdr:rowOff>15240</xdr:rowOff>
    </xdr:from>
    <xdr:to>
      <xdr:col>26</xdr:col>
      <xdr:colOff>792480</xdr:colOff>
      <xdr:row>27</xdr:row>
      <xdr:rowOff>47625</xdr:rowOff>
    </xdr:to>
    <xdr:sp macro="" textlink="">
      <xdr:nvSpPr>
        <xdr:cNvPr id="4222" name="Text Box 126">
          <a:extLst>
            <a:ext uri="{FF2B5EF4-FFF2-40B4-BE49-F238E27FC236}">
              <a16:creationId xmlns:a16="http://schemas.microsoft.com/office/drawing/2014/main" id="{00000000-0008-0000-0400-00007E100000}"/>
            </a:ext>
          </a:extLst>
        </xdr:cNvPr>
        <xdr:cNvSpPr txBox="1">
          <a:spLocks noChangeArrowheads="1"/>
        </xdr:cNvSpPr>
      </xdr:nvSpPr>
      <xdr:spPr bwMode="auto">
        <a:xfrm>
          <a:off x="12241530" y="3649980"/>
          <a:ext cx="5223510" cy="1007745"/>
        </a:xfrm>
        <a:prstGeom prst="rect">
          <a:avLst/>
        </a:prstGeom>
        <a:solidFill>
          <a:srgbClr val="FFCC99"/>
        </a:solidFill>
        <a:ln w="9525">
          <a:noFill/>
          <a:miter lim="800000"/>
          <a:headEnd/>
          <a:tailEnd/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CH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Erfolgt der Nachweis des Nährstoffanfalls mit </a:t>
          </a:r>
          <a:r>
            <a:rPr lang="de-CH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Modul 7: Import/Export-Bilanz</a:t>
          </a:r>
          <a:r>
            <a:rPr lang="de-CH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, kann dieses Tabellenblatt "Lineare Korrektur" </a:t>
          </a:r>
          <a:r>
            <a:rPr lang="de-CH" sz="1000" b="1" i="1" u="sng" strike="noStrike" baseline="0">
              <a:solidFill>
                <a:srgbClr val="000000"/>
              </a:solidFill>
              <a:latin typeface="Arial"/>
              <a:cs typeface="Arial"/>
            </a:rPr>
            <a:t>nicht</a:t>
          </a:r>
          <a:r>
            <a:rPr lang="de-CH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de-CH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verwendet werden. Ergebnisse von Import-Export-Bilanzen sind </a:t>
          </a:r>
          <a:r>
            <a:rPr lang="de-CH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direkt ins Tabellenblatt "Suisse_Bilanz_..." einzugeben</a:t>
          </a:r>
          <a:r>
            <a:rPr lang="de-CH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 [entsprechende Zeile mit grauem Knopf einfügen]. </a:t>
          </a:r>
          <a:endParaRPr lang="de-CH"/>
        </a:p>
      </xdr:txBody>
    </xdr:sp>
    <xdr:clientData fPrintsWithSheet="0"/>
  </xdr:twoCellAnchor>
  <xdr:twoCellAnchor editAs="oneCell">
    <xdr:from>
      <xdr:col>30</xdr:col>
      <xdr:colOff>136814</xdr:colOff>
      <xdr:row>6</xdr:row>
      <xdr:rowOff>35503</xdr:rowOff>
    </xdr:from>
    <xdr:to>
      <xdr:col>33</xdr:col>
      <xdr:colOff>632112</xdr:colOff>
      <xdr:row>7</xdr:row>
      <xdr:rowOff>206953</xdr:rowOff>
    </xdr:to>
    <xdr:sp macro="" textlink="">
      <xdr:nvSpPr>
        <xdr:cNvPr id="4228" name="Text Box 13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84100000}"/>
            </a:ext>
          </a:extLst>
        </xdr:cNvPr>
        <xdr:cNvSpPr txBox="1">
          <a:spLocks noChangeArrowheads="1"/>
        </xdr:cNvSpPr>
      </xdr:nvSpPr>
      <xdr:spPr bwMode="auto">
        <a:xfrm>
          <a:off x="20217246" y="1403639"/>
          <a:ext cx="3041071" cy="361950"/>
        </a:xfrm>
        <a:prstGeom prst="rect">
          <a:avLst/>
        </a:prstGeom>
        <a:solidFill>
          <a:srgbClr val="DDDDDD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scene3d>
          <a:camera prst="orthographicFront"/>
          <a:lightRig rig="threePt" dir="t"/>
        </a:scene3d>
        <a:sp3d>
          <a:bevelT w="114300" prst="artDeco"/>
        </a:sp3d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de-CH"/>
            <a:t>https://www.agridea.ch/de/  ... Modul 6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180975</xdr:colOff>
          <xdr:row>40</xdr:row>
          <xdr:rowOff>76200</xdr:rowOff>
        </xdr:from>
        <xdr:to>
          <xdr:col>15</xdr:col>
          <xdr:colOff>323850</xdr:colOff>
          <xdr:row>41</xdr:row>
          <xdr:rowOff>190500</xdr:rowOff>
        </xdr:to>
        <xdr:sp macro="" textlink="">
          <xdr:nvSpPr>
            <xdr:cNvPr id="31097" name="Button 3449" hidden="1">
              <a:extLst>
                <a:ext uri="{63B3BB69-23CF-44E3-9099-C40C66FF867C}">
                  <a14:compatExt spid="_x0000_s31097"/>
                </a:ext>
                <a:ext uri="{FF2B5EF4-FFF2-40B4-BE49-F238E27FC236}">
                  <a16:creationId xmlns:a16="http://schemas.microsoft.com/office/drawing/2014/main" id="{00000000-0008-0000-0400-000079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CH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Drucken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30</xdr:col>
      <xdr:colOff>114300</xdr:colOff>
      <xdr:row>2</xdr:row>
      <xdr:rowOff>17320</xdr:rowOff>
    </xdr:from>
    <xdr:to>
      <xdr:col>33</xdr:col>
      <xdr:colOff>617220</xdr:colOff>
      <xdr:row>4</xdr:row>
      <xdr:rowOff>125039</xdr:rowOff>
    </xdr:to>
    <xdr:sp macro="" textlink="">
      <xdr:nvSpPr>
        <xdr:cNvPr id="13" name="Text Box 13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20194732" y="632115"/>
          <a:ext cx="3048693" cy="480060"/>
        </a:xfrm>
        <a:prstGeom prst="rect">
          <a:avLst/>
        </a:prstGeom>
        <a:solidFill>
          <a:srgbClr val="FFCC9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scene3d>
          <a:camera prst="orthographicFront"/>
          <a:lightRig rig="threePt" dir="t"/>
        </a:scene3d>
        <a:sp3d>
          <a:bevelT w="114300" prst="artDeco"/>
        </a:sp3d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ysClr val="windowText" lastClr="000000"/>
              </a:solidFill>
              <a:latin typeface="Arial Narrow"/>
            </a:rPr>
            <a:t>http://www.blw.ch  ... ausgeglichene Düngerbilanz ... </a:t>
          </a:r>
          <a:br>
            <a:rPr lang="de-CH" sz="1000" b="0" i="0" u="none" strike="noStrike" baseline="0">
              <a:solidFill>
                <a:srgbClr val="080808"/>
              </a:solidFill>
              <a:latin typeface="Arial Narrow"/>
            </a:rPr>
          </a:br>
          <a:r>
            <a:rPr lang="de-CH" sz="1000" b="1" i="0" u="none" strike="noStrike" baseline="0">
              <a:solidFill>
                <a:srgbClr val="080808"/>
              </a:solidFill>
              <a:latin typeface="Arial Narrow"/>
            </a:rPr>
            <a:t>rechtliche Grundlagen</a:t>
          </a:r>
          <a:endParaRPr lang="de-CH" b="1" u="none">
            <a:solidFill>
              <a:srgbClr val="080808"/>
            </a:solidFill>
          </a:endParaRP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23814</xdr:colOff>
      <xdr:row>1</xdr:row>
      <xdr:rowOff>19050</xdr:rowOff>
    </xdr:from>
    <xdr:to>
      <xdr:col>23</xdr:col>
      <xdr:colOff>642938</xdr:colOff>
      <xdr:row>24</xdr:row>
      <xdr:rowOff>34725</xdr:rowOff>
    </xdr:to>
    <xdr:graphicFrame macro="">
      <xdr:nvGraphicFramePr>
        <xdr:cNvPr id="2" name="Diagramm 6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28577</xdr:colOff>
      <xdr:row>25</xdr:row>
      <xdr:rowOff>9525</xdr:rowOff>
    </xdr:from>
    <xdr:to>
      <xdr:col>24</xdr:col>
      <xdr:colOff>3582</xdr:colOff>
      <xdr:row>48</xdr:row>
      <xdr:rowOff>82350</xdr:rowOff>
    </xdr:to>
    <xdr:graphicFrame macro="">
      <xdr:nvGraphicFramePr>
        <xdr:cNvPr id="3" name="Diagramm 6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352425</xdr:colOff>
      <xdr:row>23</xdr:row>
      <xdr:rowOff>0</xdr:rowOff>
    </xdr:from>
    <xdr:to>
      <xdr:col>26</xdr:col>
      <xdr:colOff>38100</xdr:colOff>
      <xdr:row>26</xdr:row>
      <xdr:rowOff>133350</xdr:rowOff>
    </xdr:to>
    <xdr:sp macro="[0]!Drucken_Grafik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/>
      </xdr:nvSpPr>
      <xdr:spPr>
        <a:xfrm>
          <a:off x="13906500" y="4495800"/>
          <a:ext cx="1209675" cy="70485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  <a:effectLst/>
        <a:scene3d>
          <a:camera prst="orthographicFront"/>
          <a:lightRig rig="threePt" dir="t"/>
        </a:scene3d>
        <a:sp3d prstMaterial="metal"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CH" sz="1400" b="1">
              <a:latin typeface="Arial Narrow" panose="020B0506020202030204" pitchFamily="34" charset="0"/>
            </a:rPr>
            <a:t>Grafik</a:t>
          </a:r>
        </a:p>
        <a:p>
          <a:pPr algn="ctr"/>
          <a:r>
            <a:rPr lang="de-CH" sz="1400" b="1" baseline="0">
              <a:latin typeface="Arial Narrow" panose="020B0506020202030204" pitchFamily="34" charset="0"/>
            </a:rPr>
            <a:t> drucken</a:t>
          </a:r>
          <a:endParaRPr lang="de-CH" sz="1400" b="1">
            <a:latin typeface="Arial Narrow" panose="020B0506020202030204" pitchFamily="34" charset="0"/>
          </a:endParaRPr>
        </a:p>
      </xdr:txBody>
    </xdr:sp>
    <xdr:clientData/>
  </xdr:twoCellAnchor>
  <xdr:twoCellAnchor>
    <xdr:from>
      <xdr:col>19</xdr:col>
      <xdr:colOff>304800</xdr:colOff>
      <xdr:row>4</xdr:row>
      <xdr:rowOff>28575</xdr:rowOff>
    </xdr:from>
    <xdr:to>
      <xdr:col>20</xdr:col>
      <xdr:colOff>478800</xdr:colOff>
      <xdr:row>5</xdr:row>
      <xdr:rowOff>64650</xdr:rowOff>
    </xdr:to>
    <xdr:sp macro="" textlink="Q13">
      <xdr:nvSpPr>
        <xdr:cNvPr id="7" name="Textfeld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/>
      </xdr:nvSpPr>
      <xdr:spPr>
        <a:xfrm>
          <a:off x="9763125" y="942975"/>
          <a:ext cx="936000" cy="198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E9A9CCEE-73AB-4340-BAE3-913878A8CF38}" type="TxLink">
            <a:rPr lang="en-US" sz="1000" b="1" i="0" u="none" strike="noStrike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0 kg</a:t>
          </a:fld>
          <a:endParaRPr lang="de-CH" sz="11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21</xdr:col>
      <xdr:colOff>609600</xdr:colOff>
      <xdr:row>4</xdr:row>
      <xdr:rowOff>28575</xdr:rowOff>
    </xdr:from>
    <xdr:to>
      <xdr:col>22</xdr:col>
      <xdr:colOff>164475</xdr:colOff>
      <xdr:row>5</xdr:row>
      <xdr:rowOff>64650</xdr:rowOff>
    </xdr:to>
    <xdr:sp macro="" textlink="Q12">
      <xdr:nvSpPr>
        <xdr:cNvPr id="8" name="Textfeld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/>
      </xdr:nvSpPr>
      <xdr:spPr>
        <a:xfrm>
          <a:off x="11410950" y="942975"/>
          <a:ext cx="936000" cy="198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A4B37A30-5FB1-47FF-878B-434DEC439461}" type="TxLink">
            <a:rPr lang="en-US" sz="1000" b="1" i="0" u="none" strike="noStrike">
              <a:solidFill>
                <a:srgbClr val="0000FF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0 kg</a:t>
          </a:fld>
          <a:endParaRPr lang="de-CH" sz="1100" b="1">
            <a:solidFill>
              <a:srgbClr val="0000FF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19</xdr:col>
      <xdr:colOff>323850</xdr:colOff>
      <xdr:row>28</xdr:row>
      <xdr:rowOff>38100</xdr:rowOff>
    </xdr:from>
    <xdr:to>
      <xdr:col>20</xdr:col>
      <xdr:colOff>497850</xdr:colOff>
      <xdr:row>29</xdr:row>
      <xdr:rowOff>74175</xdr:rowOff>
    </xdr:to>
    <xdr:sp macro="" textlink="Q37">
      <xdr:nvSpPr>
        <xdr:cNvPr id="9" name="Textfeld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/>
      </xdr:nvSpPr>
      <xdr:spPr>
        <a:xfrm>
          <a:off x="9782175" y="5238750"/>
          <a:ext cx="936000" cy="198000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0F10C864-8C03-4E01-9E8C-3336BF6BE7BE}" type="TxLink">
            <a:rPr lang="en-US" sz="1000" b="1" i="0" u="none" strike="noStrike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0 kg</a:t>
          </a:fld>
          <a:endParaRPr lang="de-CH" sz="11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21</xdr:col>
      <xdr:colOff>628650</xdr:colOff>
      <xdr:row>28</xdr:row>
      <xdr:rowOff>38100</xdr:rowOff>
    </xdr:from>
    <xdr:to>
      <xdr:col>22</xdr:col>
      <xdr:colOff>183525</xdr:colOff>
      <xdr:row>29</xdr:row>
      <xdr:rowOff>74175</xdr:rowOff>
    </xdr:to>
    <xdr:sp macro="" textlink="Q36">
      <xdr:nvSpPr>
        <xdr:cNvPr id="10" name="Textfeld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/>
      </xdr:nvSpPr>
      <xdr:spPr>
        <a:xfrm>
          <a:off x="11430000" y="5238750"/>
          <a:ext cx="936000" cy="198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79FD9A12-96D9-4EAB-9933-5DECD5E5E893}" type="TxLink">
            <a:rPr lang="en-US" sz="1000" b="1" i="0" u="none" strike="noStrike">
              <a:solidFill>
                <a:srgbClr val="0000FF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0 kg</a:t>
          </a:fld>
          <a:endParaRPr lang="de-CH" sz="1100" b="1">
            <a:solidFill>
              <a:srgbClr val="0000FF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</xdr:colOff>
      <xdr:row>1</xdr:row>
      <xdr:rowOff>150495</xdr:rowOff>
    </xdr:from>
    <xdr:to>
      <xdr:col>7</xdr:col>
      <xdr:colOff>0</xdr:colOff>
      <xdr:row>3</xdr:row>
      <xdr:rowOff>53340</xdr:rowOff>
    </xdr:to>
    <xdr:sp macro="" textlink="">
      <xdr:nvSpPr>
        <xdr:cNvPr id="8193" name="Text Box 1">
          <a:extLst>
            <a:ext uri="{FF2B5EF4-FFF2-40B4-BE49-F238E27FC236}">
              <a16:creationId xmlns:a16="http://schemas.microsoft.com/office/drawing/2014/main" id="{00000000-0008-0000-0600-000001200000}"/>
            </a:ext>
          </a:extLst>
        </xdr:cNvPr>
        <xdr:cNvSpPr txBox="1">
          <a:spLocks noChangeArrowheads="1"/>
        </xdr:cNvSpPr>
      </xdr:nvSpPr>
      <xdr:spPr bwMode="auto">
        <a:xfrm>
          <a:off x="41910" y="379095"/>
          <a:ext cx="2617470" cy="177165"/>
        </a:xfrm>
        <a:prstGeom prst="rect">
          <a:avLst/>
        </a:prstGeom>
        <a:solidFill>
          <a:srgbClr val="FFFF9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gewünschte Verdünnung in "gelber Zelle" eingeben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13" Type="http://schemas.openxmlformats.org/officeDocument/2006/relationships/ctrlProp" Target="../ctrlProps/ctrlProp4.xml"/><Relationship Id="rId18" Type="http://schemas.openxmlformats.org/officeDocument/2006/relationships/ctrlProp" Target="../ctrlProps/ctrlProp9.xml"/><Relationship Id="rId26" Type="http://schemas.openxmlformats.org/officeDocument/2006/relationships/ctrlProp" Target="../ctrlProps/ctrlProp17.xml"/><Relationship Id="rId39" Type="http://schemas.openxmlformats.org/officeDocument/2006/relationships/ctrlProp" Target="../ctrlProps/ctrlProp30.xml"/><Relationship Id="rId3" Type="http://schemas.openxmlformats.org/officeDocument/2006/relationships/hyperlink" Target="https://www.blw.admin.ch/de/oekologischer-leistungsnachweis" TargetMode="External"/><Relationship Id="rId21" Type="http://schemas.openxmlformats.org/officeDocument/2006/relationships/ctrlProp" Target="../ctrlProps/ctrlProp12.xml"/><Relationship Id="rId34" Type="http://schemas.openxmlformats.org/officeDocument/2006/relationships/ctrlProp" Target="../ctrlProps/ctrlProp25.xml"/><Relationship Id="rId42" Type="http://schemas.openxmlformats.org/officeDocument/2006/relationships/ctrlProp" Target="../ctrlProps/ctrlProp33.xml"/><Relationship Id="rId7" Type="http://schemas.openxmlformats.org/officeDocument/2006/relationships/printerSettings" Target="../printerSettings/printerSettings1.bin"/><Relationship Id="rId12" Type="http://schemas.openxmlformats.org/officeDocument/2006/relationships/ctrlProp" Target="../ctrlProps/ctrlProp3.xml"/><Relationship Id="rId17" Type="http://schemas.openxmlformats.org/officeDocument/2006/relationships/ctrlProp" Target="../ctrlProps/ctrlProp8.xml"/><Relationship Id="rId25" Type="http://schemas.openxmlformats.org/officeDocument/2006/relationships/ctrlProp" Target="../ctrlProps/ctrlProp16.xml"/><Relationship Id="rId33" Type="http://schemas.openxmlformats.org/officeDocument/2006/relationships/ctrlProp" Target="../ctrlProps/ctrlProp24.xml"/><Relationship Id="rId38" Type="http://schemas.openxmlformats.org/officeDocument/2006/relationships/ctrlProp" Target="../ctrlProps/ctrlProp29.xml"/><Relationship Id="rId2" Type="http://schemas.openxmlformats.org/officeDocument/2006/relationships/hyperlink" Target="https://www.blw.admin.ch/blw/de/home/instrumente/direktzahlungen/oekologischer-leistungsnachweis/ausgeglichene-duengerbilanz.html" TargetMode="External"/><Relationship Id="rId16" Type="http://schemas.openxmlformats.org/officeDocument/2006/relationships/ctrlProp" Target="../ctrlProps/ctrlProp7.xml"/><Relationship Id="rId20" Type="http://schemas.openxmlformats.org/officeDocument/2006/relationships/ctrlProp" Target="../ctrlProps/ctrlProp11.xml"/><Relationship Id="rId29" Type="http://schemas.openxmlformats.org/officeDocument/2006/relationships/ctrlProp" Target="../ctrlProps/ctrlProp20.xml"/><Relationship Id="rId41" Type="http://schemas.openxmlformats.org/officeDocument/2006/relationships/ctrlProp" Target="../ctrlProps/ctrlProp32.xml"/><Relationship Id="rId1" Type="http://schemas.openxmlformats.org/officeDocument/2006/relationships/hyperlink" Target="https://agridea.abacuscity.ch/de/A~4918~1/Wegleitung-Suisse-Bilanz-Version-1.20-%282025-und-2026%29/Deutsch/Print-Papier" TargetMode="External"/><Relationship Id="rId6" Type="http://schemas.openxmlformats.org/officeDocument/2006/relationships/hyperlink" Target="https://agridea.abacuscity.ch/de/A~1494~1/2~230950~Shop/Software/Downloads/SuiBiTrans/Franz%C3%B6sisch" TargetMode="External"/><Relationship Id="rId11" Type="http://schemas.openxmlformats.org/officeDocument/2006/relationships/ctrlProp" Target="../ctrlProps/ctrlProp2.xml"/><Relationship Id="rId24" Type="http://schemas.openxmlformats.org/officeDocument/2006/relationships/ctrlProp" Target="../ctrlProps/ctrlProp15.xml"/><Relationship Id="rId32" Type="http://schemas.openxmlformats.org/officeDocument/2006/relationships/ctrlProp" Target="../ctrlProps/ctrlProp23.xml"/><Relationship Id="rId37" Type="http://schemas.openxmlformats.org/officeDocument/2006/relationships/ctrlProp" Target="../ctrlProps/ctrlProp28.xml"/><Relationship Id="rId40" Type="http://schemas.openxmlformats.org/officeDocument/2006/relationships/ctrlProp" Target="../ctrlProps/ctrlProp31.xml"/><Relationship Id="rId5" Type="http://schemas.openxmlformats.org/officeDocument/2006/relationships/hyperlink" Target="https://www.blw.admin.ch/blw/de/home/instrumente/direktzahlungen/oekologischer-leistungsnachweis/ausgeglichene-duengerbilanz.html" TargetMode="External"/><Relationship Id="rId15" Type="http://schemas.openxmlformats.org/officeDocument/2006/relationships/ctrlProp" Target="../ctrlProps/ctrlProp6.xml"/><Relationship Id="rId23" Type="http://schemas.openxmlformats.org/officeDocument/2006/relationships/ctrlProp" Target="../ctrlProps/ctrlProp14.xml"/><Relationship Id="rId28" Type="http://schemas.openxmlformats.org/officeDocument/2006/relationships/ctrlProp" Target="../ctrlProps/ctrlProp19.xml"/><Relationship Id="rId36" Type="http://schemas.openxmlformats.org/officeDocument/2006/relationships/ctrlProp" Target="../ctrlProps/ctrlProp27.xml"/><Relationship Id="rId10" Type="http://schemas.openxmlformats.org/officeDocument/2006/relationships/ctrlProp" Target="../ctrlProps/ctrlProp1.xml"/><Relationship Id="rId19" Type="http://schemas.openxmlformats.org/officeDocument/2006/relationships/ctrlProp" Target="../ctrlProps/ctrlProp10.xml"/><Relationship Id="rId31" Type="http://schemas.openxmlformats.org/officeDocument/2006/relationships/ctrlProp" Target="../ctrlProps/ctrlProp22.xml"/><Relationship Id="rId44" Type="http://schemas.openxmlformats.org/officeDocument/2006/relationships/comments" Target="../comments1.xml"/><Relationship Id="rId4" Type="http://schemas.openxmlformats.org/officeDocument/2006/relationships/hyperlink" Target="https://www.blw.admin.ch/de/oekologischer-leistungsnachweis" TargetMode="External"/><Relationship Id="rId9" Type="http://schemas.openxmlformats.org/officeDocument/2006/relationships/vmlDrawing" Target="../drawings/vmlDrawing1.vml"/><Relationship Id="rId14" Type="http://schemas.openxmlformats.org/officeDocument/2006/relationships/ctrlProp" Target="../ctrlProps/ctrlProp5.xml"/><Relationship Id="rId22" Type="http://schemas.openxmlformats.org/officeDocument/2006/relationships/ctrlProp" Target="../ctrlProps/ctrlProp13.xml"/><Relationship Id="rId27" Type="http://schemas.openxmlformats.org/officeDocument/2006/relationships/ctrlProp" Target="../ctrlProps/ctrlProp18.xml"/><Relationship Id="rId30" Type="http://schemas.openxmlformats.org/officeDocument/2006/relationships/ctrlProp" Target="../ctrlProps/ctrlProp21.xml"/><Relationship Id="rId35" Type="http://schemas.openxmlformats.org/officeDocument/2006/relationships/ctrlProp" Target="../ctrlProps/ctrlProp26.xml"/><Relationship Id="rId43" Type="http://schemas.openxmlformats.org/officeDocument/2006/relationships/ctrlProp" Target="../ctrlProps/ctrlProp3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7" Type="http://schemas.openxmlformats.org/officeDocument/2006/relationships/comments" Target="../comments2.xml"/><Relationship Id="rId2" Type="http://schemas.openxmlformats.org/officeDocument/2006/relationships/hyperlink" Target="https://www.blw.admin.ch/blw/de/home/instrumente/direktzahlungen/produktionssystembeitraege/beitrag-fuer-graslandbasierte-milch--und-fleischproduktion.html" TargetMode="External"/><Relationship Id="rId1" Type="http://schemas.openxmlformats.org/officeDocument/2006/relationships/hyperlink" Target="https://www.blw.admin.ch/blw/de/home/instrumente/direktzahlungen/produktionssystembeitraege/beitrag-fuer-graslandbasierte-milch--und-fleischproduktion.html" TargetMode="External"/><Relationship Id="rId6" Type="http://schemas.openxmlformats.org/officeDocument/2006/relationships/ctrlProp" Target="../ctrlProps/ctrlProp35.xml"/><Relationship Id="rId5" Type="http://schemas.openxmlformats.org/officeDocument/2006/relationships/vmlDrawing" Target="../drawings/vmlDrawing2.vm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4.xml"/><Relationship Id="rId4" Type="http://schemas.openxmlformats.org/officeDocument/2006/relationships/ctrlProp" Target="../ctrlProps/ctrlProp3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>
    <tabColor indexed="13"/>
    <pageSetUpPr fitToPage="1"/>
  </sheetPr>
  <dimension ref="A1:CH277"/>
  <sheetViews>
    <sheetView showGridLines="0" showOutlineSymbols="0" zoomScale="115" zoomScaleNormal="115" workbookViewId="0">
      <selection activeCell="L27" sqref="L27"/>
    </sheetView>
  </sheetViews>
  <sheetFormatPr baseColWidth="10" defaultColWidth="11.42578125" defaultRowHeight="12.75"/>
  <cols>
    <col min="1" max="1" width="8.7109375" style="5" customWidth="1"/>
    <col min="2" max="2" width="8.42578125" style="5" customWidth="1"/>
    <col min="3" max="3" width="6" style="5" customWidth="1"/>
    <col min="4" max="15" width="5.7109375" style="5" customWidth="1"/>
    <col min="16" max="18" width="5" style="5" customWidth="1"/>
    <col min="19" max="19" width="20.85546875" style="5" customWidth="1"/>
    <col min="20" max="23" width="5.7109375" style="5" customWidth="1"/>
    <col min="24" max="24" width="8.7109375" style="5" customWidth="1"/>
    <col min="25" max="25" width="20.7109375" style="5" customWidth="1"/>
    <col min="26" max="26" width="5.7109375" style="5" customWidth="1"/>
    <col min="27" max="44" width="8.7109375" style="320" customWidth="1"/>
    <col min="45" max="63" width="10" style="320" customWidth="1"/>
    <col min="64" max="68" width="5.7109375" style="1108" customWidth="1"/>
    <col min="69" max="69" width="5.7109375" style="1123" customWidth="1"/>
    <col min="70" max="86" width="5.7109375" style="1108" customWidth="1"/>
    <col min="87" max="16384" width="11.42578125" style="320"/>
  </cols>
  <sheetData>
    <row r="1" spans="1:86" ht="36" customHeight="1">
      <c r="A1" s="14"/>
      <c r="B1" s="320"/>
      <c r="AA1" s="1442" t="s">
        <v>1972</v>
      </c>
      <c r="AB1" s="1443"/>
      <c r="AC1" s="1444"/>
      <c r="AD1" s="1444"/>
      <c r="AE1" s="1444"/>
      <c r="AF1" s="1444"/>
      <c r="AG1" s="1444"/>
      <c r="AH1" s="1444"/>
      <c r="AI1" s="1444"/>
      <c r="AJ1" s="1444"/>
      <c r="AK1" s="1445"/>
      <c r="AL1" s="2641" t="s">
        <v>697</v>
      </c>
      <c r="AM1" s="1088"/>
      <c r="AN1" s="1088"/>
      <c r="AO1" s="1088"/>
      <c r="AP1" s="1088"/>
      <c r="AQ1" s="1088"/>
      <c r="AR1" s="1088"/>
      <c r="AS1" s="1088"/>
      <c r="AY1" s="1450" t="s">
        <v>1430</v>
      </c>
      <c r="BK1" s="1450"/>
      <c r="BL1" s="1107"/>
      <c r="BM1" s="1109"/>
      <c r="BR1" s="1109"/>
      <c r="BW1" s="1455" t="s">
        <v>156</v>
      </c>
      <c r="CH1" s="1462" t="s">
        <v>1424</v>
      </c>
    </row>
    <row r="2" spans="1:86" s="354" customFormat="1" ht="18" customHeight="1" thickBot="1">
      <c r="A2" s="103"/>
      <c r="B2" s="3608" t="s">
        <v>1969</v>
      </c>
      <c r="C2" s="3609"/>
      <c r="D2" s="3609"/>
      <c r="E2" s="3609"/>
      <c r="F2" s="3609"/>
      <c r="G2" s="3609"/>
      <c r="H2" s="3609"/>
      <c r="I2" s="3609"/>
      <c r="J2" s="3609"/>
      <c r="K2" s="3609"/>
      <c r="L2" s="3609"/>
      <c r="M2" s="3609"/>
      <c r="N2" s="3609"/>
      <c r="O2" s="3609"/>
      <c r="P2" s="3609"/>
      <c r="Q2" s="3609"/>
      <c r="R2" s="3609"/>
      <c r="S2" s="2784"/>
      <c r="T2" s="2784"/>
      <c r="U2" s="2784"/>
      <c r="V2" s="2784"/>
      <c r="W2" s="2784"/>
      <c r="X2" s="2784"/>
      <c r="Y2" s="2784"/>
      <c r="Z2" s="2784"/>
      <c r="AA2" s="2785" t="s">
        <v>1813</v>
      </c>
      <c r="AB2" s="2786"/>
      <c r="AC2" s="2787"/>
      <c r="AD2" s="2787"/>
      <c r="AE2" s="2787"/>
      <c r="AF2" s="2787"/>
      <c r="AG2" s="2787"/>
      <c r="AH2" s="2787"/>
      <c r="AI2" s="2787"/>
      <c r="AJ2" s="2787"/>
      <c r="AK2" s="2788"/>
      <c r="AL2" s="2784" t="s">
        <v>1533</v>
      </c>
      <c r="AM2" s="2789"/>
      <c r="AN2" s="2789"/>
      <c r="AO2" s="3591" t="s">
        <v>1968</v>
      </c>
      <c r="AP2" s="3592"/>
      <c r="AQ2" s="3592"/>
      <c r="AR2" s="3592"/>
      <c r="AS2" s="3592"/>
      <c r="AT2" s="3592"/>
      <c r="AU2" s="3592"/>
      <c r="AY2" s="2790" t="s">
        <v>79</v>
      </c>
      <c r="BG2" s="354" t="s">
        <v>394</v>
      </c>
      <c r="BI2" s="354" t="s">
        <v>393</v>
      </c>
      <c r="BK2" s="2790"/>
      <c r="BL2" s="2791"/>
      <c r="BM2" s="2792"/>
      <c r="BN2" s="2792"/>
      <c r="BO2" s="2792"/>
      <c r="BP2" s="2792"/>
      <c r="BQ2" s="2793"/>
      <c r="BR2" s="2792"/>
      <c r="BS2" s="2792"/>
      <c r="BT2" s="2792"/>
      <c r="BU2" s="2792"/>
      <c r="BV2" s="2792"/>
      <c r="BW2" s="2794"/>
      <c r="BX2" s="2792"/>
      <c r="BY2" s="2792"/>
      <c r="BZ2" s="2792"/>
      <c r="CA2" s="2792"/>
      <c r="CB2" s="2792"/>
      <c r="CC2" s="2792"/>
      <c r="CD2" s="2792"/>
      <c r="CE2" s="2792"/>
      <c r="CF2" s="2792"/>
      <c r="CG2" s="2792"/>
      <c r="CH2" s="2790"/>
    </row>
    <row r="3" spans="1:86" ht="18" customHeight="1">
      <c r="A3" s="2813">
        <v>46009</v>
      </c>
      <c r="B3" s="3350" t="s">
        <v>1971</v>
      </c>
      <c r="C3" s="3351"/>
      <c r="D3" s="3351"/>
      <c r="E3" s="3130"/>
      <c r="F3" s="3352"/>
      <c r="G3" s="3130"/>
      <c r="H3" s="3130"/>
      <c r="I3" s="3353"/>
      <c r="J3" s="3353" t="s">
        <v>1532</v>
      </c>
      <c r="K3" s="3353"/>
      <c r="L3" s="3353"/>
      <c r="M3" s="3353"/>
      <c r="N3" s="3354" t="str">
        <f>IF((MID(K8,SEARCH("20??",K8),4)*1) &gt; 2027,"  "&amp;K8&amp;": -&gt; neue Version verwenden!",IF((MID(K8,SEARCH("20??",K8),4)*1) &lt; 2026,"  "&amp;K8&amp;": -&gt; alte Version verwenden!",""))</f>
        <v/>
      </c>
      <c r="O3" s="3130"/>
      <c r="P3" s="3130"/>
      <c r="Q3" s="3130"/>
      <c r="R3" s="126"/>
      <c r="AA3" s="2642" t="s">
        <v>501</v>
      </c>
      <c r="AB3" s="1446"/>
      <c r="AC3" s="1446"/>
      <c r="AD3" s="1446"/>
      <c r="AE3" s="1446"/>
      <c r="AF3" s="1446"/>
      <c r="AG3" s="1446"/>
      <c r="AH3" s="1446"/>
      <c r="AI3" s="1446"/>
      <c r="AJ3" s="1446"/>
      <c r="AK3" s="1446"/>
      <c r="AL3" s="9" t="s">
        <v>1228</v>
      </c>
      <c r="AO3" s="3593" t="s">
        <v>2127</v>
      </c>
      <c r="AP3" s="3594"/>
      <c r="AQ3" s="3594"/>
      <c r="AR3" s="3594"/>
      <c r="AS3" s="3594"/>
      <c r="AT3" s="3594"/>
      <c r="AU3" s="3594"/>
      <c r="AY3" s="1452" t="s">
        <v>1430</v>
      </c>
      <c r="BG3" s="600" t="s">
        <v>1154</v>
      </c>
      <c r="BH3" s="311"/>
      <c r="BI3" s="601" t="s">
        <v>827</v>
      </c>
      <c r="BJ3" s="602"/>
      <c r="BK3" s="1450"/>
      <c r="BL3" s="1107"/>
      <c r="BM3" s="1109"/>
      <c r="BR3" s="1109"/>
      <c r="BW3" s="1455" t="s">
        <v>156</v>
      </c>
      <c r="CH3" s="1455"/>
    </row>
    <row r="4" spans="1:86">
      <c r="A4" s="26"/>
      <c r="B4" s="3355"/>
      <c r="C4" s="3355"/>
      <c r="D4" s="3355"/>
      <c r="E4" s="3355"/>
      <c r="F4" s="3355"/>
      <c r="G4" s="3355"/>
      <c r="H4" s="3355"/>
      <c r="I4" s="3355"/>
      <c r="J4" s="3355"/>
      <c r="K4" s="3355"/>
      <c r="L4" s="3355"/>
      <c r="M4" s="3355"/>
      <c r="N4" s="3355"/>
      <c r="O4" s="3355"/>
      <c r="P4" s="3355"/>
      <c r="Q4" s="3355"/>
      <c r="R4" s="3355"/>
      <c r="S4" s="3356"/>
      <c r="T4" s="320"/>
      <c r="AA4" s="2643" t="s">
        <v>1963</v>
      </c>
      <c r="AB4" s="2644"/>
      <c r="AC4" s="2644"/>
      <c r="AD4" s="2644"/>
      <c r="AE4" s="2644"/>
      <c r="AF4" s="2644"/>
      <c r="AG4" s="2644"/>
      <c r="AH4" s="2644"/>
      <c r="AI4" s="2644"/>
      <c r="AJ4" s="2644"/>
      <c r="AK4" s="2645"/>
      <c r="AL4" s="1089"/>
      <c r="AO4" s="3592"/>
      <c r="AP4" s="3592"/>
      <c r="AQ4" s="3592"/>
      <c r="AR4" s="3592"/>
      <c r="AS4" s="3592"/>
      <c r="AT4" s="3592"/>
      <c r="AU4" s="3592"/>
      <c r="AY4" s="1452" t="s">
        <v>1430</v>
      </c>
      <c r="BG4" s="436"/>
      <c r="BH4" s="311"/>
      <c r="BI4" s="436"/>
      <c r="BJ4" s="311"/>
      <c r="BK4" s="1450"/>
      <c r="BM4" s="1109"/>
      <c r="BR4" s="1109"/>
      <c r="BW4" s="1455" t="s">
        <v>156</v>
      </c>
      <c r="CH4" s="1455"/>
    </row>
    <row r="5" spans="1:86" s="311" customFormat="1" ht="15.95" customHeight="1">
      <c r="A5" s="3173"/>
      <c r="B5" s="3357" t="s">
        <v>1005</v>
      </c>
      <c r="C5" s="3075"/>
      <c r="D5" s="3075"/>
      <c r="E5" s="3075"/>
      <c r="F5" s="3075"/>
      <c r="G5" s="3075"/>
      <c r="H5" s="3075"/>
      <c r="I5" s="3075"/>
      <c r="J5" s="3075"/>
      <c r="K5" s="3075"/>
      <c r="L5" s="3075"/>
      <c r="M5" s="3075"/>
      <c r="N5" s="3075"/>
      <c r="O5" s="3075"/>
      <c r="P5" s="3075"/>
      <c r="Q5" s="3075"/>
      <c r="R5" s="3131" t="s">
        <v>2125</v>
      </c>
      <c r="S5" s="3184"/>
      <c r="T5" s="9"/>
      <c r="U5" s="9"/>
      <c r="V5" s="9"/>
      <c r="W5" s="9"/>
      <c r="X5" s="9"/>
      <c r="Y5" s="9"/>
      <c r="Z5" s="9"/>
      <c r="AA5" s="1267"/>
      <c r="AB5" s="531"/>
      <c r="AC5" s="531"/>
      <c r="AD5" s="531"/>
      <c r="AE5" s="531"/>
      <c r="AF5" s="531"/>
      <c r="AG5" s="531"/>
      <c r="AH5" s="531"/>
      <c r="AI5" s="531"/>
      <c r="AJ5" s="531"/>
      <c r="AK5" s="1266"/>
      <c r="AO5" s="1109"/>
      <c r="AP5" s="1109"/>
      <c r="AQ5" s="1109"/>
      <c r="AR5" s="1109"/>
      <c r="AS5" s="1109"/>
      <c r="AT5" s="1109"/>
      <c r="AU5" s="1109"/>
      <c r="AY5" s="1453" t="s">
        <v>1430</v>
      </c>
      <c r="BG5" s="429">
        <v>0</v>
      </c>
      <c r="BI5" s="429" t="s">
        <v>80</v>
      </c>
      <c r="BK5" s="1450"/>
      <c r="BL5" s="1109"/>
      <c r="BM5" s="1109"/>
      <c r="BN5" s="1109"/>
      <c r="BO5" s="1109"/>
      <c r="BP5" s="1109"/>
      <c r="BQ5" s="1123"/>
      <c r="BR5" s="1109"/>
      <c r="BS5" s="1109"/>
      <c r="BT5" s="1109"/>
      <c r="BU5" s="1109"/>
      <c r="BV5" s="1109"/>
      <c r="BW5" s="1456" t="s">
        <v>156</v>
      </c>
      <c r="BX5" s="1109"/>
      <c r="BY5" s="1109"/>
      <c r="BZ5" s="1109"/>
      <c r="CA5" s="1109"/>
      <c r="CB5" s="1109"/>
      <c r="CC5" s="1109"/>
      <c r="CD5" s="1109"/>
      <c r="CE5" s="1109"/>
      <c r="CF5" s="1109"/>
      <c r="CG5" s="1109"/>
      <c r="CH5" s="1456"/>
    </row>
    <row r="6" spans="1:86" s="311" customFormat="1" ht="15.95" customHeight="1">
      <c r="A6" s="3173"/>
      <c r="B6" s="3358" t="s">
        <v>2134</v>
      </c>
      <c r="C6" s="3075"/>
      <c r="D6" s="3075"/>
      <c r="E6" s="3075"/>
      <c r="F6" s="3075"/>
      <c r="G6" s="3075"/>
      <c r="H6" s="3075"/>
      <c r="I6" s="3075"/>
      <c r="J6" s="3131"/>
      <c r="K6" s="3132"/>
      <c r="L6" s="2929"/>
      <c r="M6" s="3075"/>
      <c r="N6" s="3075"/>
      <c r="O6" s="3075"/>
      <c r="P6" s="3075"/>
      <c r="Q6" s="3075"/>
      <c r="R6" s="3145" t="str">
        <f>Daten!E497</f>
        <v>Auskunft: Fabian Furrer 041 666 64 53</v>
      </c>
      <c r="S6" s="3184"/>
      <c r="T6" s="9"/>
      <c r="U6" s="9"/>
      <c r="V6" s="9"/>
      <c r="W6" s="9"/>
      <c r="X6" s="9"/>
      <c r="Y6" s="9"/>
      <c r="Z6" s="9"/>
      <c r="AA6" s="920" t="s">
        <v>2126</v>
      </c>
      <c r="AB6" s="907"/>
      <c r="AC6" s="907"/>
      <c r="AD6" s="903"/>
      <c r="AE6" s="903"/>
      <c r="AF6" s="903"/>
      <c r="AG6" s="903"/>
      <c r="AH6" s="903"/>
      <c r="AI6" s="903"/>
      <c r="AJ6" s="903"/>
      <c r="AK6" s="904"/>
      <c r="AO6" s="1109"/>
      <c r="AP6" s="1994"/>
      <c r="AQ6" s="1109"/>
      <c r="AR6" s="1109"/>
      <c r="AS6" s="1109"/>
      <c r="AT6" s="1109"/>
      <c r="AU6" s="1109"/>
      <c r="AY6" s="1453" t="s">
        <v>1430</v>
      </c>
      <c r="BG6" s="429">
        <v>50</v>
      </c>
      <c r="BI6" s="437" t="s">
        <v>823</v>
      </c>
      <c r="BK6" s="1450"/>
      <c r="BL6" s="1109"/>
      <c r="BM6" s="1109"/>
      <c r="BN6" s="1109"/>
      <c r="BO6" s="1109"/>
      <c r="BP6" s="1109"/>
      <c r="BQ6" s="1123"/>
      <c r="BR6" s="1109"/>
      <c r="BS6" s="1109"/>
      <c r="BT6" s="1109"/>
      <c r="BU6" s="1109"/>
      <c r="BV6" s="1109"/>
      <c r="BW6" s="1456" t="s">
        <v>156</v>
      </c>
      <c r="BX6" s="1109"/>
      <c r="BY6" s="1109"/>
      <c r="BZ6" s="1109"/>
      <c r="CA6" s="1109"/>
      <c r="CB6" s="1109"/>
      <c r="CC6" s="1109"/>
      <c r="CD6" s="1109"/>
      <c r="CE6" s="1109"/>
      <c r="CF6" s="1109"/>
      <c r="CG6" s="1109"/>
      <c r="CH6" s="1456"/>
    </row>
    <row r="7" spans="1:86" s="311" customFormat="1" ht="12" customHeight="1">
      <c r="A7" s="3359"/>
      <c r="B7" s="3078"/>
      <c r="C7" s="3133"/>
      <c r="D7" s="3075"/>
      <c r="E7" s="3134"/>
      <c r="F7" s="3135" t="s">
        <v>82</v>
      </c>
      <c r="G7" s="3595"/>
      <c r="H7" s="3596"/>
      <c r="I7" s="3136"/>
      <c r="J7" s="3137" t="str">
        <f>IF(ISBLANK(K7),"Prod.Art ? -&gt; ","")</f>
        <v/>
      </c>
      <c r="K7" s="3605" t="s">
        <v>1312</v>
      </c>
      <c r="L7" s="3605"/>
      <c r="M7" s="2929"/>
      <c r="N7" s="3138"/>
      <c r="O7" s="3075"/>
      <c r="P7" s="3075"/>
      <c r="Q7" s="3075"/>
      <c r="R7" s="2929"/>
      <c r="S7" s="3184"/>
      <c r="T7" s="9"/>
      <c r="U7" s="9"/>
      <c r="V7" s="9"/>
      <c r="W7" s="9"/>
      <c r="X7" s="9"/>
      <c r="Y7" s="9"/>
      <c r="Z7" s="9"/>
      <c r="AA7" s="920" t="s">
        <v>480</v>
      </c>
      <c r="AB7" s="1264"/>
      <c r="AC7" s="903"/>
      <c r="AD7" s="903"/>
      <c r="AE7" s="1264"/>
      <c r="AF7" s="903"/>
      <c r="AG7" s="1265"/>
      <c r="AH7" s="1265"/>
      <c r="AI7" s="1265"/>
      <c r="AJ7" s="1265"/>
      <c r="AK7" s="904"/>
      <c r="AM7" s="354"/>
      <c r="AY7" s="1453" t="s">
        <v>1430</v>
      </c>
      <c r="BG7" s="437">
        <v>100</v>
      </c>
      <c r="BK7" s="1450"/>
      <c r="BL7" s="1109"/>
      <c r="BM7" s="1109"/>
      <c r="BN7" s="1109"/>
      <c r="BO7" s="1109"/>
      <c r="BP7" s="1109"/>
      <c r="BQ7" s="1123"/>
      <c r="BR7" s="1109"/>
      <c r="BS7" s="1109"/>
      <c r="BT7" s="1109"/>
      <c r="BU7" s="1109"/>
      <c r="BV7" s="1109"/>
      <c r="BW7" s="1456" t="s">
        <v>156</v>
      </c>
      <c r="BX7" s="1109"/>
      <c r="BY7" s="1109"/>
      <c r="BZ7" s="1109"/>
      <c r="CA7" s="1109"/>
      <c r="CB7" s="1109"/>
      <c r="CC7" s="1109"/>
      <c r="CD7" s="1109"/>
      <c r="CE7" s="1109"/>
      <c r="CF7" s="1109"/>
      <c r="CG7" s="1109"/>
      <c r="CH7" s="1456"/>
    </row>
    <row r="8" spans="1:86" s="311" customFormat="1" ht="15" customHeight="1">
      <c r="A8" s="3173"/>
      <c r="B8" s="3360" t="s">
        <v>81</v>
      </c>
      <c r="C8" s="3599" t="s">
        <v>1953</v>
      </c>
      <c r="D8" s="3600"/>
      <c r="E8" s="3600"/>
      <c r="F8" s="3600"/>
      <c r="G8" s="3601"/>
      <c r="H8" s="3602"/>
      <c r="I8" s="3034"/>
      <c r="J8" s="3140" t="s">
        <v>536</v>
      </c>
      <c r="K8" s="3597">
        <v>2026</v>
      </c>
      <c r="L8" s="3598"/>
      <c r="M8" s="3034"/>
      <c r="N8" s="3141" t="s">
        <v>83</v>
      </c>
      <c r="O8" s="3603">
        <f ca="1">TODAY()</f>
        <v>46091</v>
      </c>
      <c r="P8" s="3604"/>
      <c r="Q8" s="3034"/>
      <c r="R8" s="3361" t="s">
        <v>78</v>
      </c>
      <c r="S8" s="3184"/>
      <c r="T8" s="9"/>
      <c r="U8" s="9"/>
      <c r="V8" s="9"/>
      <c r="W8" s="9"/>
      <c r="X8" s="9"/>
      <c r="Y8" s="9"/>
      <c r="Z8" s="9"/>
      <c r="AA8" s="920" t="s">
        <v>1814</v>
      </c>
      <c r="AB8" s="1264"/>
      <c r="AC8" s="903"/>
      <c r="AD8" s="903"/>
      <c r="AE8" s="1264"/>
      <c r="AF8" s="903"/>
      <c r="AG8" s="1265"/>
      <c r="AH8" s="1265"/>
      <c r="AI8" s="1265"/>
      <c r="AJ8" s="1265"/>
      <c r="AK8" s="904"/>
      <c r="AY8" s="1450" t="s">
        <v>1430</v>
      </c>
      <c r="AZ8" s="320"/>
      <c r="BA8" s="320"/>
      <c r="BB8" s="320"/>
      <c r="BC8" s="320"/>
      <c r="BD8" s="320"/>
      <c r="BE8" s="320"/>
      <c r="BF8" s="320"/>
      <c r="BG8" s="320"/>
      <c r="BH8" s="320"/>
      <c r="BI8" s="320"/>
      <c r="BJ8" s="320"/>
      <c r="BK8" s="1450"/>
      <c r="BL8" s="1107"/>
      <c r="BM8" s="1109"/>
      <c r="BN8" s="1109"/>
      <c r="BO8" s="1109"/>
      <c r="BP8" s="1109"/>
      <c r="BQ8" s="1123"/>
      <c r="BR8" s="1109"/>
      <c r="BS8" s="1109"/>
      <c r="BT8" s="1109"/>
      <c r="BU8" s="1109"/>
      <c r="BV8" s="1109"/>
      <c r="BW8" s="1456" t="s">
        <v>156</v>
      </c>
      <c r="BX8" s="1109"/>
      <c r="BY8" s="1109"/>
      <c r="BZ8" s="1109"/>
      <c r="CA8" s="1109"/>
      <c r="CB8" s="1109"/>
      <c r="CC8" s="1109"/>
      <c r="CD8" s="1109"/>
      <c r="CE8" s="1109"/>
      <c r="CF8" s="1109"/>
      <c r="CG8" s="1109"/>
      <c r="CH8" s="1456"/>
    </row>
    <row r="9" spans="1:86" s="311" customFormat="1" ht="15" customHeight="1">
      <c r="A9" s="3173"/>
      <c r="B9" s="3360" t="s">
        <v>84</v>
      </c>
      <c r="C9" s="3610"/>
      <c r="D9" s="3611"/>
      <c r="E9" s="3611"/>
      <c r="F9" s="3611"/>
      <c r="G9" s="3611"/>
      <c r="H9" s="3612"/>
      <c r="I9" s="3142"/>
      <c r="J9" s="3143" t="s">
        <v>537</v>
      </c>
      <c r="K9" s="2929"/>
      <c r="L9" s="2929"/>
      <c r="M9" s="3144"/>
      <c r="N9" s="3145" t="s">
        <v>85</v>
      </c>
      <c r="O9" s="3584"/>
      <c r="P9" s="3585"/>
      <c r="Q9" s="3585"/>
      <c r="R9" s="3586"/>
      <c r="S9" s="3184"/>
      <c r="T9" s="3606" t="s">
        <v>1787</v>
      </c>
      <c r="U9" s="3606"/>
      <c r="V9" s="3606"/>
      <c r="W9" s="3606"/>
      <c r="X9" s="3606"/>
      <c r="Y9" s="3606"/>
      <c r="Z9" s="9"/>
      <c r="AA9" s="1736" t="s">
        <v>392</v>
      </c>
      <c r="AB9" s="1737"/>
      <c r="AC9" s="1738"/>
      <c r="AD9" s="1739"/>
      <c r="AE9" s="1739"/>
      <c r="AF9" s="1739"/>
      <c r="AG9" s="1740"/>
      <c r="AH9" s="1740"/>
      <c r="AI9" s="1740"/>
      <c r="AJ9" s="1741"/>
      <c r="AK9" s="1742"/>
      <c r="AY9" s="1450" t="s">
        <v>1430</v>
      </c>
      <c r="AZ9" s="320"/>
      <c r="BB9" s="320"/>
      <c r="BC9" s="320"/>
      <c r="BD9" s="320"/>
      <c r="BE9" s="320"/>
      <c r="BF9" s="320"/>
      <c r="BG9" s="320"/>
      <c r="BH9" s="320"/>
      <c r="BI9" s="320"/>
      <c r="BJ9" s="320"/>
      <c r="BK9" s="1450"/>
      <c r="BL9" s="1107"/>
      <c r="BM9" s="1109"/>
      <c r="BN9" s="1109"/>
      <c r="BO9" s="1109"/>
      <c r="BP9" s="1109"/>
      <c r="BQ9" s="1123"/>
      <c r="BR9" s="1109"/>
      <c r="BS9" s="1109"/>
      <c r="BT9" s="1109"/>
      <c r="BU9" s="1109"/>
      <c r="BV9" s="1109"/>
      <c r="BW9" s="1456" t="s">
        <v>156</v>
      </c>
      <c r="BX9" s="1109"/>
      <c r="BY9" s="1109"/>
      <c r="BZ9" s="1109"/>
      <c r="CA9" s="1109"/>
      <c r="CB9" s="1109"/>
      <c r="CC9" s="1109"/>
      <c r="CD9" s="1109"/>
      <c r="CE9" s="1109"/>
      <c r="CF9" s="1109"/>
      <c r="CG9" s="1109"/>
      <c r="CH9" s="1456"/>
    </row>
    <row r="10" spans="1:86" s="311" customFormat="1" ht="3.95" customHeight="1">
      <c r="A10" s="3173"/>
      <c r="B10" s="3362"/>
      <c r="C10" s="3146"/>
      <c r="D10" s="3146"/>
      <c r="E10" s="3146"/>
      <c r="F10" s="3146"/>
      <c r="G10" s="3146"/>
      <c r="H10" s="3146"/>
      <c r="I10" s="3147"/>
      <c r="J10" s="3147"/>
      <c r="K10" s="2929"/>
      <c r="L10" s="2929"/>
      <c r="M10" s="3148"/>
      <c r="N10" s="3149"/>
      <c r="O10" s="3150"/>
      <c r="P10" s="3150"/>
      <c r="Q10" s="3150"/>
      <c r="R10" s="3150"/>
      <c r="S10" s="3139"/>
      <c r="T10" s="3606"/>
      <c r="U10" s="3606"/>
      <c r="V10" s="3606"/>
      <c r="W10" s="3606"/>
      <c r="X10" s="3606"/>
      <c r="Y10" s="3606"/>
      <c r="Z10" s="9"/>
      <c r="AA10" s="2736"/>
      <c r="AB10" s="2737"/>
      <c r="AC10" s="2738"/>
      <c r="AD10" s="2739"/>
      <c r="AE10" s="2739"/>
      <c r="AF10" s="2739"/>
      <c r="AG10" s="2740"/>
      <c r="AH10" s="2740"/>
      <c r="AI10" s="2740"/>
      <c r="AJ10" s="2741"/>
      <c r="AK10" s="2742"/>
      <c r="AY10" s="1450" t="s">
        <v>1430</v>
      </c>
      <c r="AZ10" s="320"/>
      <c r="BA10" s="320"/>
      <c r="BB10" s="320"/>
      <c r="BC10" s="320"/>
      <c r="BD10" s="320"/>
      <c r="BE10" s="320"/>
      <c r="BF10" s="320"/>
      <c r="BG10" s="320"/>
      <c r="BH10" s="320"/>
      <c r="BI10" s="320"/>
      <c r="BJ10" s="320"/>
      <c r="BK10" s="1450"/>
      <c r="BL10" s="1107"/>
      <c r="BM10" s="1109"/>
      <c r="BN10" s="1109"/>
      <c r="BO10" s="1109"/>
      <c r="BP10" s="1109"/>
      <c r="BQ10" s="1123"/>
      <c r="BR10" s="1109"/>
      <c r="BS10" s="1109"/>
      <c r="BT10" s="1109"/>
      <c r="BU10" s="1109"/>
      <c r="BV10" s="1109"/>
      <c r="BW10" s="1456" t="s">
        <v>156</v>
      </c>
      <c r="BX10" s="1109"/>
      <c r="BY10" s="1109"/>
      <c r="BZ10" s="1109"/>
      <c r="CA10" s="1109"/>
      <c r="CB10" s="1109"/>
      <c r="CC10" s="1109"/>
      <c r="CD10" s="1109"/>
      <c r="CE10" s="1109"/>
      <c r="CF10" s="1109"/>
      <c r="CG10" s="1109"/>
      <c r="CH10" s="1456"/>
    </row>
    <row r="11" spans="1:86" s="311" customFormat="1" ht="12.75" customHeight="1">
      <c r="A11" s="3173"/>
      <c r="B11" s="3145" t="s">
        <v>1082</v>
      </c>
      <c r="C11" s="3613" t="s">
        <v>442</v>
      </c>
      <c r="D11" s="3614"/>
      <c r="E11" s="3614"/>
      <c r="F11" s="3614"/>
      <c r="G11" s="3614"/>
      <c r="H11" s="3614"/>
      <c r="I11" s="3614"/>
      <c r="J11" s="3614"/>
      <c r="K11" s="3614"/>
      <c r="L11" s="3614"/>
      <c r="M11" s="3614"/>
      <c r="N11" s="3614"/>
      <c r="O11" s="3614"/>
      <c r="P11" s="3614"/>
      <c r="Q11" s="3614"/>
      <c r="R11" s="3615"/>
      <c r="S11" s="3184"/>
      <c r="T11" s="2611"/>
      <c r="U11" s="1447" t="s">
        <v>514</v>
      </c>
      <c r="V11" s="1447"/>
      <c r="W11" s="1447"/>
      <c r="X11" s="2598"/>
      <c r="Y11" s="2599"/>
      <c r="Z11" s="9"/>
      <c r="AA11" s="1743"/>
      <c r="AB11" s="1744" t="s">
        <v>502</v>
      </c>
      <c r="AC11" s="1745"/>
      <c r="AD11" s="1745"/>
      <c r="AE11" s="1745"/>
      <c r="AF11" s="1745"/>
      <c r="AG11" s="1746"/>
      <c r="AH11" s="1745"/>
      <c r="AI11" s="1747"/>
      <c r="AJ11" s="1747"/>
      <c r="AK11" s="1748"/>
      <c r="AY11" s="1450" t="s">
        <v>1430</v>
      </c>
      <c r="AZ11" s="320"/>
      <c r="BA11" s="320"/>
      <c r="BB11" s="320"/>
      <c r="BC11" s="320"/>
      <c r="BD11" s="320"/>
      <c r="BE11" s="320"/>
      <c r="BF11" s="320"/>
      <c r="BG11" s="320"/>
      <c r="BH11" s="320"/>
      <c r="BI11" s="320"/>
      <c r="BJ11" s="320"/>
      <c r="BK11" s="1450"/>
      <c r="BL11" s="1107"/>
      <c r="BM11" s="1109"/>
      <c r="BN11" s="1109"/>
      <c r="BO11" s="1109"/>
      <c r="BP11" s="1109"/>
      <c r="BQ11" s="1123"/>
      <c r="BR11" s="1109"/>
      <c r="BS11" s="1109"/>
      <c r="BT11" s="1109"/>
      <c r="BU11" s="1109"/>
      <c r="BV11" s="1109"/>
      <c r="BW11" s="1456" t="s">
        <v>156</v>
      </c>
      <c r="BX11" s="1109"/>
      <c r="BY11" s="1109"/>
      <c r="BZ11" s="1109"/>
      <c r="CA11" s="1109"/>
      <c r="CB11" s="1109"/>
      <c r="CC11" s="1109"/>
      <c r="CD11" s="1109"/>
      <c r="CE11" s="1109"/>
      <c r="CF11" s="1109"/>
      <c r="CG11" s="1109"/>
      <c r="CH11" s="1456"/>
    </row>
    <row r="12" spans="1:86" s="311" customFormat="1" ht="12" customHeight="1">
      <c r="A12" s="3151"/>
      <c r="B12" s="3034"/>
      <c r="C12" s="3616"/>
      <c r="D12" s="3617"/>
      <c r="E12" s="3617"/>
      <c r="F12" s="3617"/>
      <c r="G12" s="3617"/>
      <c r="H12" s="3617"/>
      <c r="I12" s="3617"/>
      <c r="J12" s="3617"/>
      <c r="K12" s="3617"/>
      <c r="L12" s="3617"/>
      <c r="M12" s="3617"/>
      <c r="N12" s="3617"/>
      <c r="O12" s="3617"/>
      <c r="P12" s="3617"/>
      <c r="Q12" s="3617"/>
      <c r="R12" s="3618"/>
      <c r="S12" s="3184"/>
      <c r="T12" s="2612"/>
      <c r="U12" s="1448" t="s">
        <v>515</v>
      </c>
      <c r="V12" s="1448"/>
      <c r="W12" s="1448"/>
      <c r="X12" s="2600"/>
      <c r="Y12" s="2601"/>
      <c r="Z12" s="9"/>
      <c r="AA12" s="908" t="s">
        <v>1964</v>
      </c>
      <c r="AB12" s="909"/>
      <c r="AC12" s="910"/>
      <c r="AD12" s="909"/>
      <c r="AE12" s="911"/>
      <c r="AF12" s="912"/>
      <c r="AG12" s="913"/>
      <c r="AH12" s="912"/>
      <c r="AI12" s="909"/>
      <c r="AJ12" s="909"/>
      <c r="AK12" s="914"/>
      <c r="AY12" s="1450" t="s">
        <v>1430</v>
      </c>
      <c r="BK12" s="1450"/>
      <c r="BL12" s="1107"/>
      <c r="BM12" s="1109"/>
      <c r="BN12" s="1109"/>
      <c r="BO12" s="1109"/>
      <c r="BP12" s="1109"/>
      <c r="BQ12" s="1123"/>
      <c r="BR12" s="1109"/>
      <c r="BS12" s="1109"/>
      <c r="BT12" s="1109"/>
      <c r="BU12" s="1109"/>
      <c r="BV12" s="1109"/>
      <c r="BW12" s="1456" t="s">
        <v>156</v>
      </c>
      <c r="BX12" s="1109"/>
      <c r="BY12" s="1109"/>
      <c r="BZ12" s="1109"/>
      <c r="CA12" s="1109"/>
      <c r="CB12" s="1109"/>
      <c r="CC12" s="1109"/>
      <c r="CD12" s="1109"/>
      <c r="CE12" s="1109"/>
      <c r="CF12" s="1109"/>
      <c r="CG12" s="1109"/>
      <c r="CH12" s="1456"/>
    </row>
    <row r="13" spans="1:86" s="311" customFormat="1" ht="13.5">
      <c r="A13" s="3173"/>
      <c r="B13" s="3077"/>
      <c r="C13" s="3077"/>
      <c r="D13" s="3077"/>
      <c r="E13" s="3077"/>
      <c r="F13" s="3077"/>
      <c r="G13" s="3077"/>
      <c r="H13" s="3077"/>
      <c r="I13" s="3077"/>
      <c r="J13" s="3077"/>
      <c r="K13" s="3137"/>
      <c r="L13" s="3153"/>
      <c r="M13" s="3144"/>
      <c r="N13" s="3075"/>
      <c r="O13" s="3075"/>
      <c r="P13" s="3075"/>
      <c r="Q13" s="3075"/>
      <c r="R13" s="3077"/>
      <c r="S13" s="3154"/>
      <c r="T13" s="12"/>
      <c r="U13" s="1449" t="s">
        <v>517</v>
      </c>
      <c r="V13" s="1449"/>
      <c r="W13" s="1449"/>
      <c r="X13" s="127"/>
      <c r="Y13" s="2602"/>
      <c r="Z13" s="9"/>
      <c r="AA13" s="918" t="s">
        <v>695</v>
      </c>
      <c r="AB13" s="915"/>
      <c r="AC13" s="915"/>
      <c r="AD13" s="915"/>
      <c r="AE13" s="915"/>
      <c r="AF13" s="916"/>
      <c r="AG13" s="915"/>
      <c r="AH13" s="915"/>
      <c r="AI13" s="915"/>
      <c r="AJ13" s="915"/>
      <c r="AK13" s="917"/>
      <c r="AY13" s="1450" t="s">
        <v>79</v>
      </c>
      <c r="BK13" s="1450"/>
      <c r="BL13" s="1107"/>
      <c r="BM13" s="1109"/>
      <c r="BN13" s="1109"/>
      <c r="BO13" s="1109"/>
      <c r="BP13" s="1109"/>
      <c r="BQ13" s="1123"/>
      <c r="BR13" s="1109"/>
      <c r="BS13" s="1109"/>
      <c r="BT13" s="1109"/>
      <c r="BU13" s="1109"/>
      <c r="BV13" s="1109"/>
      <c r="BW13" s="1456" t="s">
        <v>156</v>
      </c>
      <c r="BX13" s="1109"/>
      <c r="BY13" s="1109"/>
      <c r="BZ13" s="1109"/>
      <c r="CA13" s="1109"/>
      <c r="CB13" s="1109"/>
      <c r="CC13" s="1109"/>
      <c r="CD13" s="1109"/>
      <c r="CE13" s="1109"/>
      <c r="CF13" s="1109"/>
      <c r="CG13" s="1109"/>
      <c r="CH13" s="1456"/>
    </row>
    <row r="14" spans="1:86" s="311" customFormat="1" ht="12" customHeight="1">
      <c r="A14" s="3173"/>
      <c r="B14" s="3078"/>
      <c r="C14" s="3075"/>
      <c r="D14" s="3075"/>
      <c r="E14" s="3075"/>
      <c r="F14" s="3075"/>
      <c r="G14" s="3075"/>
      <c r="H14" s="3075"/>
      <c r="I14" s="3075"/>
      <c r="J14" s="278" t="s">
        <v>86</v>
      </c>
      <c r="K14" s="3125" t="s">
        <v>87</v>
      </c>
      <c r="L14" s="3075" t="s">
        <v>79</v>
      </c>
      <c r="M14" s="3075"/>
      <c r="N14" s="3075"/>
      <c r="O14" s="3155"/>
      <c r="P14" s="111" t="s">
        <v>91</v>
      </c>
      <c r="Q14" s="111" t="s">
        <v>91</v>
      </c>
      <c r="R14" s="278" t="s">
        <v>86</v>
      </c>
      <c r="S14" s="3184"/>
      <c r="T14" s="9"/>
      <c r="U14" s="12"/>
      <c r="V14" s="9"/>
      <c r="W14" s="9"/>
      <c r="X14" s="9"/>
      <c r="Y14" s="9"/>
      <c r="Z14" s="9"/>
      <c r="AA14" s="1290" t="s">
        <v>1965</v>
      </c>
      <c r="AB14" s="903"/>
      <c r="AC14" s="907"/>
      <c r="AD14" s="907"/>
      <c r="AE14" s="903"/>
      <c r="AF14" s="903"/>
      <c r="AG14" s="907"/>
      <c r="AH14" s="907"/>
      <c r="AI14" s="907"/>
      <c r="AJ14" s="907"/>
      <c r="AK14" s="904"/>
      <c r="AL14" s="2400" t="s">
        <v>1582</v>
      </c>
      <c r="AM14" s="1338"/>
      <c r="AN14" s="1338"/>
      <c r="AO14" s="1338"/>
      <c r="AP14" s="1338"/>
      <c r="AQ14" s="1338"/>
      <c r="AR14" s="1338"/>
      <c r="AS14" s="1338"/>
      <c r="AT14" s="1338"/>
      <c r="AU14" s="1338"/>
      <c r="AV14" s="1338"/>
      <c r="AW14" s="1338"/>
      <c r="AX14" s="2398"/>
      <c r="AY14" s="1450"/>
      <c r="BA14" s="989" t="s">
        <v>1705</v>
      </c>
      <c r="BK14" s="1450"/>
      <c r="BL14" s="1109"/>
      <c r="BM14" s="1109"/>
      <c r="BN14" s="1109"/>
      <c r="BO14" s="1109"/>
      <c r="BP14" s="1109"/>
      <c r="BQ14" s="1123"/>
      <c r="BR14" s="1109"/>
      <c r="BS14" s="1109"/>
      <c r="BT14" s="1109"/>
      <c r="BU14" s="1109"/>
      <c r="BV14" s="1109"/>
      <c r="BW14" s="1456" t="s">
        <v>156</v>
      </c>
      <c r="BX14" s="1109"/>
      <c r="BY14" s="1109"/>
      <c r="BZ14" s="1109"/>
      <c r="CA14" s="1109"/>
      <c r="CB14" s="1109"/>
      <c r="CC14" s="1109"/>
      <c r="CD14" s="1109"/>
      <c r="CE14" s="1109"/>
      <c r="CF14" s="1109"/>
      <c r="CG14" s="1109"/>
      <c r="CH14" s="1456"/>
    </row>
    <row r="15" spans="1:86" s="311" customFormat="1" ht="14.1" customHeight="1">
      <c r="A15" s="3587" t="str">
        <f>IF(OR(AND(ISNUMBER(F18),OR(B18&lt;3000,B18&gt;18000)),AND(ISNUMBER(F19),OR(B19&lt;3000,B19&gt;18000))),"Stimmt durchschn. Milchleistung?"," ")</f>
        <v xml:space="preserve"> </v>
      </c>
      <c r="B15" s="59" t="s">
        <v>92</v>
      </c>
      <c r="C15" s="3156"/>
      <c r="D15" s="3156"/>
      <c r="E15" s="112"/>
      <c r="F15" s="3125" t="s">
        <v>93</v>
      </c>
      <c r="G15" s="131" t="s">
        <v>94</v>
      </c>
      <c r="H15" s="131" t="s">
        <v>95</v>
      </c>
      <c r="I15" s="131"/>
      <c r="J15" s="279" t="s">
        <v>97</v>
      </c>
      <c r="K15" s="19" t="s">
        <v>98</v>
      </c>
      <c r="L15" s="113" t="s">
        <v>99</v>
      </c>
      <c r="M15" s="3156"/>
      <c r="N15" s="3156"/>
      <c r="O15" s="112"/>
      <c r="P15" s="20" t="s">
        <v>114</v>
      </c>
      <c r="Q15" s="20" t="s">
        <v>115</v>
      </c>
      <c r="R15" s="279" t="s">
        <v>116</v>
      </c>
      <c r="S15" s="3154" t="str">
        <f>IF(AND(U16="",Y16="" ), "","        Zusatzangaben für die Berechnung der Grösse 'Kraftfutter / Milchkuh' ")</f>
        <v/>
      </c>
      <c r="U15" s="9"/>
      <c r="V15" s="9"/>
      <c r="W15" s="9"/>
      <c r="X15" s="9"/>
      <c r="Y15" s="2617"/>
      <c r="Z15" s="9"/>
      <c r="AA15" s="1291" t="s">
        <v>1973</v>
      </c>
      <c r="AK15" s="431"/>
      <c r="AL15" s="2399" t="s">
        <v>1967</v>
      </c>
      <c r="AX15" s="431"/>
      <c r="AY15" s="1450" t="s">
        <v>1430</v>
      </c>
      <c r="AZ15" s="3588" t="s">
        <v>1786</v>
      </c>
      <c r="BA15" s="3589"/>
      <c r="BB15" s="3590"/>
      <c r="BC15" s="320"/>
      <c r="BD15" s="320"/>
      <c r="BE15" s="320" t="s">
        <v>1783</v>
      </c>
      <c r="BI15" s="320"/>
      <c r="BJ15" s="320"/>
      <c r="BK15" s="1450"/>
      <c r="BL15" s="1107"/>
      <c r="BM15" s="1109"/>
      <c r="BN15" s="1109"/>
      <c r="BO15" s="1109"/>
      <c r="BP15" s="1109"/>
      <c r="BQ15" s="1123"/>
      <c r="BR15" s="1109"/>
      <c r="BS15" s="1109"/>
      <c r="BT15" s="1109"/>
      <c r="BU15" s="1109"/>
      <c r="BV15" s="1109"/>
      <c r="BW15" s="1456" t="s">
        <v>156</v>
      </c>
      <c r="BX15" s="1109"/>
      <c r="BY15" s="1109"/>
      <c r="BZ15" s="1109"/>
      <c r="CA15" s="1109"/>
      <c r="CB15" s="1109"/>
      <c r="CC15" s="1109"/>
      <c r="CD15" s="1109"/>
      <c r="CE15" s="1109"/>
      <c r="CF15" s="1109"/>
      <c r="CG15" s="1109"/>
      <c r="CH15" s="1456"/>
    </row>
    <row r="16" spans="1:86" s="311" customFormat="1" ht="12" customHeight="1">
      <c r="A16" s="3587"/>
      <c r="B16" s="125" t="s">
        <v>130</v>
      </c>
      <c r="C16" s="2662"/>
      <c r="D16" s="1718" t="str">
        <f>IF(OR(AND(ISNUMBER(F18),F18&lt;&gt;0,ISBLANK(D18)),AND(ISNUMBER(F19),F19&lt;&gt;0,ISBLANK(D19)) ),"dt Kraftfutter eingeben","      Kraftfutter")</f>
        <v xml:space="preserve">      Kraftfutter</v>
      </c>
      <c r="E16" s="1717"/>
      <c r="F16" s="3157"/>
      <c r="G16" s="20" t="s">
        <v>118</v>
      </c>
      <c r="H16" s="3158" t="s">
        <v>119</v>
      </c>
      <c r="I16" s="276" t="s">
        <v>118</v>
      </c>
      <c r="J16" s="269" t="s">
        <v>120</v>
      </c>
      <c r="K16" s="17" t="s">
        <v>121</v>
      </c>
      <c r="L16" s="275" t="s">
        <v>91</v>
      </c>
      <c r="M16" s="3159" t="s">
        <v>122</v>
      </c>
      <c r="N16" s="3159" t="s">
        <v>123</v>
      </c>
      <c r="O16" s="3135" t="s">
        <v>124</v>
      </c>
      <c r="P16" s="20" t="s">
        <v>125</v>
      </c>
      <c r="Q16" s="20" t="s">
        <v>95</v>
      </c>
      <c r="R16" s="20" t="s">
        <v>91</v>
      </c>
      <c r="S16" s="3184"/>
      <c r="T16" s="9"/>
      <c r="U16" s="2618" t="str">
        <f>IF(OR(ISNUMBER(F18),ISNUMBER(F19)),"andere Abwesenheit","")</f>
        <v/>
      </c>
      <c r="V16" s="607" t="str">
        <f>IF(OR(U18="ja",U19="ja"),"Anzahl","")</f>
        <v/>
      </c>
      <c r="W16" s="607" t="str">
        <f>IF(OR(AND(U18="ja",ISNUMBER(V18)),AND(U19="ja",ISNUMBER(V19))),"Anzahl","")</f>
        <v/>
      </c>
      <c r="X16" s="607" t="str">
        <f>IF(AND(X18="",X19=""),"","Andere Abw.")</f>
        <v/>
      </c>
      <c r="Y16" s="607" t="str">
        <f>IF(AND(AZ18=$F18,AZ19=$F19),""," Anzahl Kühe (ohne Abzug)")</f>
        <v/>
      </c>
      <c r="Z16" s="24"/>
      <c r="AA16" s="2671" t="s">
        <v>1974</v>
      </c>
      <c r="AB16" s="531"/>
      <c r="AC16" s="531"/>
      <c r="AD16" s="531"/>
      <c r="AE16" s="531"/>
      <c r="AF16" s="531"/>
      <c r="AG16" s="531"/>
      <c r="AH16" s="531"/>
      <c r="AI16" s="531"/>
      <c r="AJ16" s="531"/>
      <c r="AK16" s="1266"/>
      <c r="AM16" s="3607" t="s">
        <v>1532</v>
      </c>
      <c r="AN16" s="3607"/>
      <c r="AO16" s="3607"/>
      <c r="AP16" s="3607"/>
      <c r="AQ16" s="3607"/>
      <c r="AR16" s="3607"/>
      <c r="AS16" s="3607"/>
      <c r="AX16" s="431"/>
      <c r="AY16" s="1450" t="s">
        <v>1430</v>
      </c>
      <c r="AZ16" s="2594" t="s">
        <v>1785</v>
      </c>
      <c r="BA16" s="2591" t="s">
        <v>1784</v>
      </c>
      <c r="BB16" s="2595" t="s">
        <v>1548</v>
      </c>
      <c r="BC16" s="410"/>
      <c r="BD16" s="990" t="s">
        <v>1415</v>
      </c>
      <c r="BE16" s="990" t="s">
        <v>1666</v>
      </c>
      <c r="BF16" s="991" t="s">
        <v>1664</v>
      </c>
      <c r="BG16" s="2436" t="s">
        <v>1665</v>
      </c>
      <c r="BI16" s="2438" t="s">
        <v>1417</v>
      </c>
      <c r="BJ16" s="410"/>
      <c r="BK16" s="1450"/>
      <c r="BL16" s="1107"/>
      <c r="BM16" s="1109"/>
      <c r="BN16" s="1109"/>
      <c r="BO16" s="1109"/>
      <c r="BP16" s="1109"/>
      <c r="BQ16" s="1123"/>
      <c r="BR16" s="1109"/>
      <c r="BS16" s="1109"/>
      <c r="BT16" s="1109"/>
      <c r="BU16" s="1109"/>
      <c r="BV16" s="1109"/>
      <c r="BW16" s="1456" t="s">
        <v>156</v>
      </c>
      <c r="BX16" s="1109"/>
      <c r="BY16" s="1109"/>
      <c r="BZ16" s="1109"/>
      <c r="CA16" s="1109"/>
      <c r="CB16" s="1109"/>
      <c r="CC16" s="1109"/>
      <c r="CD16" s="1109"/>
      <c r="CE16" s="1109"/>
      <c r="CF16" s="1109"/>
      <c r="CG16" s="1109"/>
      <c r="CH16" s="1456"/>
    </row>
    <row r="17" spans="1:86" s="311" customFormat="1" ht="9.75" customHeight="1">
      <c r="A17" s="3587"/>
      <c r="B17" s="2664" t="s">
        <v>1811</v>
      </c>
      <c r="C17" s="3160"/>
      <c r="D17" s="274" t="s">
        <v>336</v>
      </c>
      <c r="E17" s="274" t="s">
        <v>126</v>
      </c>
      <c r="F17" s="3161"/>
      <c r="G17" s="266"/>
      <c r="H17" s="91"/>
      <c r="I17" s="169"/>
      <c r="J17" s="265" t="s">
        <v>127</v>
      </c>
      <c r="K17" s="2710"/>
      <c r="L17" s="2710"/>
      <c r="M17" s="3029"/>
      <c r="N17" s="3029"/>
      <c r="O17" s="3029"/>
      <c r="P17" s="307" t="s">
        <v>128</v>
      </c>
      <c r="Q17" s="307" t="s">
        <v>128</v>
      </c>
      <c r="R17" s="307" t="s">
        <v>128</v>
      </c>
      <c r="S17" s="3184"/>
      <c r="T17" s="9"/>
      <c r="U17" s="2607" t="str">
        <f>IF(OR(ISNUMBER(F18),ISNUMBER(F19)),"ohne Sömmerung","")</f>
        <v/>
      </c>
      <c r="V17" s="607" t="str">
        <f>IF(OR(U18="ja",U19="ja"),"Tiere","")</f>
        <v/>
      </c>
      <c r="W17" s="607" t="str">
        <f>IF(OR(AND(U18="ja",ISNUMBER(V18)),AND(U19="ja",ISNUMBER(V19))),"Tage","")</f>
        <v/>
      </c>
      <c r="X17" s="2608" t="str">
        <f>IF(AND(X18="",X19=""),"","Pl.")</f>
        <v/>
      </c>
      <c r="Y17" s="2609" t="str">
        <f>IF(AND(AZ18=$F18,AZ19=$F19),"","Betrieb + Sö + Abwesenheit (Nicht-Sö)")</f>
        <v/>
      </c>
      <c r="Z17" s="24"/>
      <c r="AA17" s="2670" t="s">
        <v>1818</v>
      </c>
      <c r="AK17" s="431"/>
      <c r="AL17" s="1812"/>
      <c r="AM17" s="3000" t="s">
        <v>1966</v>
      </c>
      <c r="AY17" s="1453" t="s">
        <v>1430</v>
      </c>
      <c r="AZ17" s="2596"/>
      <c r="BA17" s="2592"/>
      <c r="BB17" s="2595"/>
      <c r="BC17" s="320"/>
      <c r="BD17" s="364"/>
      <c r="BE17" s="364"/>
      <c r="BF17" s="1255"/>
      <c r="BG17" s="2437"/>
      <c r="BI17" s="1256"/>
      <c r="BJ17" s="320"/>
      <c r="BK17" s="1450"/>
      <c r="BL17" s="1107"/>
      <c r="BM17" s="1109"/>
      <c r="BN17" s="1109"/>
      <c r="BO17" s="1109"/>
      <c r="BP17" s="1109"/>
      <c r="BQ17" s="1123"/>
      <c r="BR17" s="1109"/>
      <c r="BS17" s="1109"/>
      <c r="BT17" s="1109"/>
      <c r="BU17" s="1109"/>
      <c r="BV17" s="1109"/>
      <c r="BW17" s="1456" t="s">
        <v>156</v>
      </c>
      <c r="BX17" s="1109"/>
      <c r="BY17" s="1109"/>
      <c r="BZ17" s="1109"/>
      <c r="CA17" s="1109"/>
      <c r="CB17" s="1109"/>
      <c r="CC17" s="1109"/>
      <c r="CD17" s="1109"/>
      <c r="CE17" s="1109"/>
      <c r="CF17" s="1109"/>
      <c r="CG17" s="1109"/>
      <c r="CH17" s="1456"/>
    </row>
    <row r="18" spans="1:86" s="311" customFormat="1" ht="12" customHeight="1">
      <c r="A18" s="3363"/>
      <c r="B18" s="2663"/>
      <c r="C18" s="2973" t="str">
        <f>IF(OR(A15=" ",F18=0)," ","Milch?")</f>
        <v xml:space="preserve"> </v>
      </c>
      <c r="D18" s="2585"/>
      <c r="E18" s="1339" t="str">
        <f>IF(F18&gt;0,BB18,"")</f>
        <v/>
      </c>
      <c r="F18" s="2366"/>
      <c r="G18" s="1335"/>
      <c r="H18" s="1719"/>
      <c r="I18" s="1720"/>
      <c r="J18" s="1721"/>
      <c r="K18" s="3162" t="str">
        <f>IF(F18&lt;&gt;0,F18*(56+(B18-7500)*0.0014-(0.003* (B18-7500)/100*(B18-7500)/100 )+Suisse_Bilanz_1.20!BI18),"")</f>
        <v/>
      </c>
      <c r="L18" s="3163" t="str">
        <f>IF(F18&lt;&gt;0,IF(B18&lt;7500,F18*(95.2+(B18-7500)*0.0048)*IF($E$20="ja",0.8/0.85,1),F18*(95.2+(B18-7500)*0.0048)*IF($E$20="ja",0.8/0.85,1)),"")</f>
        <v/>
      </c>
      <c r="M18" s="3163" t="str">
        <f>IF(F18&lt;&gt;0,IF(B18&lt;7500,F18*(39+(B18-7500)*0.0027),F18*(39+(B18-7500)*0.0027)),"")</f>
        <v/>
      </c>
      <c r="N18" s="3163" t="str">
        <f>IF(F18&lt;&gt;0,IF(B18&lt;7500, F18*(172+(B18-7500)*0.0052),F18*(172+(B18-7500)*0.0052)),"")</f>
        <v/>
      </c>
      <c r="O18" s="3163" t="str">
        <f>IF(F18&lt;&gt;0,IF(B18&lt;7500,F18*(14+(B18-7500)*0.001),F18*(14+(B18-7500)*0.001)),"")</f>
        <v/>
      </c>
      <c r="P18" s="2165" t="str">
        <f>IF(ISNUMBER(L18),IF(G18&lt;=365,L18*(G18/365)*0.1,"Tage?"),"")</f>
        <v/>
      </c>
      <c r="Q18" s="2165" t="str">
        <f>IF(ISNUMBER(L18),IF(OR(H18&gt;24,I18&gt;365),"St,Tg?",IF(G18*2.4+H18*I18&gt;24*365,"L+W?",L18*(H18*I18/24/365))),"")</f>
        <v/>
      </c>
      <c r="R18" s="2165" t="str">
        <f>IF(ISNUMBER(L18),IF(J18=100,L18-P18-Q18,IF(J18=50,(L18-P18-Q18)*0.5, 0)),"")</f>
        <v/>
      </c>
      <c r="S18" s="3184"/>
      <c r="T18" s="2"/>
      <c r="U18" s="2605"/>
      <c r="V18" s="2606"/>
      <c r="W18" s="2606"/>
      <c r="X18" s="2604" t="str">
        <f>IF(AND(U18="ja",ISNUMBER(V18),ISNUMBER(W18)),W18*V18/365,"")</f>
        <v/>
      </c>
      <c r="Y18" s="2604" t="str">
        <f>IF(AZ18=F18,"",AZ18)</f>
        <v/>
      </c>
      <c r="Z18" s="9"/>
      <c r="AA18" s="2744" t="s">
        <v>1842</v>
      </c>
      <c r="AB18" s="2700"/>
      <c r="AC18" s="318"/>
      <c r="AD18" s="318"/>
      <c r="AE18" s="318"/>
      <c r="AF18" s="318"/>
      <c r="AG18" s="318"/>
      <c r="AH18" s="318"/>
      <c r="AI18" s="318"/>
      <c r="AJ18" s="318"/>
      <c r="AK18" s="921"/>
      <c r="AL18" s="2672"/>
      <c r="AM18" s="2999"/>
      <c r="AY18" s="1453" t="s">
        <v>1430</v>
      </c>
      <c r="AZ18" s="2594">
        <f>SUM(F18,X18,GMF_1.11!J11*GMF_1.11!K11/365)</f>
        <v>0</v>
      </c>
      <c r="BA18" s="2593">
        <f>D18</f>
        <v>0</v>
      </c>
      <c r="BB18" s="2597" t="e">
        <f>BA18*100/AZ18</f>
        <v>#DIV/0!</v>
      </c>
      <c r="BC18" s="311" t="s">
        <v>130</v>
      </c>
      <c r="BD18" s="2586">
        <f>Suisse_Bilanz_1.20!B18</f>
        <v>0</v>
      </c>
      <c r="BE18" s="2587" t="e">
        <f>BB18</f>
        <v>#DIV/0!</v>
      </c>
      <c r="BF18" s="2588">
        <f>(-80+0.025*BD18)*BD18/1000</f>
        <v>0</v>
      </c>
      <c r="BG18" s="2589" t="e">
        <f>BF18-BB18</f>
        <v>#DIV/0!</v>
      </c>
      <c r="BI18" s="2590" t="e">
        <f>IF(BE18&lt;0,0,BG18*0.012)</f>
        <v>#DIV/0!</v>
      </c>
      <c r="BJ18" s="311" t="s">
        <v>1425</v>
      </c>
      <c r="BK18" s="1450"/>
      <c r="BL18" s="1107"/>
      <c r="BM18" s="1109"/>
      <c r="BN18" s="1109"/>
      <c r="BO18" s="1109"/>
      <c r="BP18" s="1109"/>
      <c r="BQ18" s="1123"/>
      <c r="BR18" s="1109"/>
      <c r="BS18" s="1109"/>
      <c r="BT18" s="1109"/>
      <c r="BU18" s="1109"/>
      <c r="BV18" s="1109"/>
      <c r="BW18" s="1456" t="s">
        <v>156</v>
      </c>
      <c r="BX18" s="1109"/>
      <c r="BY18" s="1109"/>
      <c r="BZ18" s="1109"/>
      <c r="CA18" s="1109"/>
      <c r="CB18" s="1109"/>
      <c r="CC18" s="1109"/>
      <c r="CD18" s="1109"/>
      <c r="CE18" s="1109"/>
      <c r="CF18" s="1109"/>
      <c r="CG18" s="1109"/>
      <c r="CH18" s="1456"/>
    </row>
    <row r="19" spans="1:86" s="311" customFormat="1" ht="12" hidden="1" customHeight="1">
      <c r="A19" s="3364" t="s">
        <v>1810</v>
      </c>
      <c r="B19" s="2852"/>
      <c r="C19" s="2853"/>
      <c r="D19" s="2854"/>
      <c r="E19" s="2855"/>
      <c r="F19" s="2856"/>
      <c r="G19" s="2855"/>
      <c r="H19" s="2857"/>
      <c r="I19" s="2855"/>
      <c r="J19" s="2858"/>
      <c r="K19" s="3164"/>
      <c r="L19" s="3165"/>
      <c r="M19" s="3165"/>
      <c r="N19" s="3165"/>
      <c r="O19" s="3165"/>
      <c r="P19" s="2859"/>
      <c r="Q19" s="2859"/>
      <c r="R19" s="2859"/>
      <c r="S19" s="3365"/>
      <c r="T19" s="2861"/>
      <c r="U19" s="2862"/>
      <c r="V19" s="2863"/>
      <c r="W19" s="2863"/>
      <c r="X19" s="2864"/>
      <c r="Y19" s="2864"/>
      <c r="Z19" s="2860"/>
      <c r="AA19" s="2670"/>
      <c r="AB19" s="318"/>
      <c r="AC19" s="318"/>
      <c r="AD19" s="318"/>
      <c r="AE19" s="318"/>
      <c r="AF19" s="318"/>
      <c r="AG19" s="318"/>
      <c r="AH19" s="318"/>
      <c r="AI19" s="318"/>
      <c r="AJ19" s="318"/>
      <c r="AK19" s="921"/>
      <c r="AL19" s="2672"/>
      <c r="AY19" s="2668"/>
      <c r="AZ19" s="2666"/>
      <c r="BA19" s="2667"/>
      <c r="BB19" s="2667"/>
      <c r="BD19" s="2586"/>
      <c r="BE19" s="2586"/>
      <c r="BF19" s="9"/>
      <c r="BG19" s="24"/>
      <c r="BI19" s="12"/>
      <c r="BK19" s="2669"/>
      <c r="BL19" s="1107"/>
      <c r="BM19" s="1109"/>
      <c r="BN19" s="1109"/>
      <c r="BO19" s="1109"/>
      <c r="BP19" s="1109"/>
      <c r="BQ19" s="1123"/>
      <c r="BR19" s="1109"/>
      <c r="BS19" s="1109"/>
      <c r="BT19" s="1109"/>
      <c r="BU19" s="1109"/>
      <c r="BV19" s="1109"/>
      <c r="BW19" s="1456" t="s">
        <v>156</v>
      </c>
      <c r="BX19" s="1109"/>
      <c r="BY19" s="1109"/>
      <c r="BZ19" s="1109"/>
      <c r="CA19" s="1109"/>
      <c r="CB19" s="1109"/>
      <c r="CC19" s="1109"/>
      <c r="CD19" s="1109"/>
      <c r="CE19" s="1109"/>
      <c r="CF19" s="1109"/>
      <c r="CG19" s="1109"/>
      <c r="CH19" s="1456"/>
    </row>
    <row r="20" spans="1:86" s="311" customFormat="1" ht="11.1" customHeight="1">
      <c r="A20" s="3366" t="s">
        <v>131</v>
      </c>
      <c r="B20" s="2680"/>
      <c r="C20" s="2694"/>
      <c r="D20" s="2695" t="str">
        <f>IF(OR(F18&lt;&gt;0,SUM(F18:F19)&lt;&gt;0),"alle Milchkühe im Laufstall?","")</f>
        <v/>
      </c>
      <c r="E20" s="2693"/>
      <c r="F20" s="2970"/>
      <c r="G20" s="2971"/>
      <c r="H20" s="2972"/>
      <c r="I20" s="2929"/>
      <c r="J20" s="2929"/>
      <c r="K20" s="2966"/>
      <c r="L20" s="2966"/>
      <c r="M20" s="3029"/>
      <c r="N20" s="3029"/>
      <c r="O20" s="2966"/>
      <c r="P20" s="309"/>
      <c r="Q20" s="309"/>
      <c r="R20" s="309"/>
      <c r="S20" s="3215"/>
      <c r="T20" s="9"/>
      <c r="U20" s="9"/>
      <c r="V20" s="9"/>
      <c r="W20" s="9"/>
      <c r="X20" s="9"/>
      <c r="Y20" s="9"/>
      <c r="Z20" s="9"/>
      <c r="AA20" s="2743" t="s">
        <v>1843</v>
      </c>
      <c r="AB20" s="905"/>
      <c r="AC20" s="919"/>
      <c r="AD20" s="919"/>
      <c r="AE20" s="919"/>
      <c r="AF20" s="919"/>
      <c r="AG20" s="919"/>
      <c r="AH20" s="919"/>
      <c r="AI20" s="919"/>
      <c r="AJ20" s="919"/>
      <c r="AK20" s="906"/>
      <c r="AY20" s="1453" t="s">
        <v>1430</v>
      </c>
      <c r="BK20" s="1450"/>
      <c r="BL20" s="1107"/>
      <c r="BM20" s="1109"/>
      <c r="BN20" s="1109"/>
      <c r="BO20" s="1109"/>
      <c r="BP20" s="1109"/>
      <c r="BQ20" s="1123"/>
      <c r="BR20" s="1109"/>
      <c r="BS20" s="1109"/>
      <c r="BT20" s="1109"/>
      <c r="BU20" s="1109"/>
      <c r="BV20" s="1109"/>
      <c r="BW20" s="1456" t="s">
        <v>156</v>
      </c>
      <c r="BX20" s="1109"/>
      <c r="BY20" s="1109"/>
      <c r="BZ20" s="1109"/>
      <c r="CA20" s="1109"/>
      <c r="CB20" s="1109"/>
      <c r="CC20" s="1109"/>
      <c r="CD20" s="1109"/>
      <c r="CE20" s="1109"/>
      <c r="CF20" s="1109"/>
      <c r="CG20" s="1109"/>
      <c r="CH20" s="1456"/>
    </row>
    <row r="21" spans="1:86" s="311" customFormat="1" ht="5.25" customHeight="1">
      <c r="A21" s="3367"/>
      <c r="B21" s="2967"/>
      <c r="C21" s="2968"/>
      <c r="D21" s="2969"/>
      <c r="E21" s="2969"/>
      <c r="F21" s="2970"/>
      <c r="G21" s="2971"/>
      <c r="H21" s="2972"/>
      <c r="I21" s="2929"/>
      <c r="J21" s="2929"/>
      <c r="K21" s="2966"/>
      <c r="L21" s="2966"/>
      <c r="M21" s="3029"/>
      <c r="N21" s="3029"/>
      <c r="O21" s="2966"/>
      <c r="P21" s="309"/>
      <c r="Q21" s="309"/>
      <c r="R21" s="309"/>
      <c r="S21" s="3215"/>
      <c r="T21" s="9"/>
      <c r="U21" s="9"/>
      <c r="V21" s="9"/>
      <c r="W21" s="9"/>
      <c r="X21" s="9"/>
      <c r="Y21" s="9"/>
      <c r="Z21" s="9"/>
      <c r="AA21" s="2826"/>
      <c r="AB21" s="2827"/>
      <c r="AC21" s="2828"/>
      <c r="AD21" s="2828"/>
      <c r="AE21" s="2828"/>
      <c r="AF21" s="2828"/>
      <c r="AG21" s="2828"/>
      <c r="AH21" s="2828"/>
      <c r="AI21" s="2828"/>
      <c r="AJ21" s="2828"/>
      <c r="AK21" s="2772"/>
      <c r="AY21" s="1453"/>
      <c r="BK21" s="1450"/>
      <c r="BL21" s="1107"/>
      <c r="BM21" s="1109"/>
      <c r="BN21" s="1109"/>
      <c r="BO21" s="1109"/>
      <c r="BP21" s="1109"/>
      <c r="BQ21" s="1123"/>
      <c r="BR21" s="1109"/>
      <c r="BS21" s="1109"/>
      <c r="BT21" s="1109"/>
      <c r="BU21" s="1109"/>
      <c r="BV21" s="1109"/>
      <c r="BW21" s="1456" t="s">
        <v>156</v>
      </c>
      <c r="BX21" s="1109"/>
      <c r="BY21" s="1109"/>
      <c r="BZ21" s="1109"/>
      <c r="CA21" s="1109"/>
      <c r="CB21" s="1109"/>
      <c r="CC21" s="1109"/>
      <c r="CD21" s="1109"/>
      <c r="CE21" s="1109"/>
      <c r="CF21" s="1109"/>
      <c r="CG21" s="1109"/>
      <c r="CH21" s="1456"/>
    </row>
    <row r="22" spans="1:86" s="311" customFormat="1" ht="12" hidden="1" customHeight="1">
      <c r="A22" s="3368" t="s">
        <v>1944</v>
      </c>
      <c r="B22" s="2995" t="s">
        <v>1936</v>
      </c>
      <c r="C22" s="2996"/>
      <c r="D22" s="2997" t="str">
        <f>IF(AND(OR(E22&lt;200,E22&gt;1500),ISNUMBER(F22),F22&lt;&gt;0),"Jahresmilch?","kg Jahresmilch: ")</f>
        <v xml:space="preserve">kg Jahresmilch: </v>
      </c>
      <c r="E22" s="2998"/>
      <c r="F22" s="2366"/>
      <c r="G22" s="1335"/>
      <c r="H22" s="1719"/>
      <c r="I22" s="1720"/>
      <c r="J22" s="1721"/>
      <c r="K22" s="3162" t="str">
        <f>IF(F22=0,"",(6.2+0.03*(E22-550)/25)*F22)</f>
        <v/>
      </c>
      <c r="L22" s="3163" t="str">
        <f>IF(F22=0,"",IF(D22="Jahresmilch?","Milch?",(7.87+0.09*(E22-550)/25)*F22))</f>
        <v/>
      </c>
      <c r="M22" s="3163" t="str">
        <f>IF(F22=0,"",(3.6+0.03*(E22-550)/25)*F22)</f>
        <v/>
      </c>
      <c r="N22" s="3163" t="str">
        <f>IF(F22=0,"",(15.7+0.13*(E22-550)/25)*F22)</f>
        <v/>
      </c>
      <c r="O22" s="3163" t="str">
        <f>IF(F22=0,"",(0.9+0.02*(E22-550)/25)*F22)</f>
        <v/>
      </c>
      <c r="P22" s="2165" t="str">
        <f>IF(ISNUMBER(L22),IF(G22&lt;=365,L22*(G22/365)*0.1,"Tage?"),"")</f>
        <v/>
      </c>
      <c r="Q22" s="2165" t="str">
        <f>IF(ISNUMBER(L22),IF(OR(H22&gt;24,I22&gt;365),"St,Tg?",IF(G22*2.4+H22*I22&gt;24*365,"L+W?",L22*(H22*I22/24/365))),"")</f>
        <v/>
      </c>
      <c r="R22" s="2165" t="str">
        <f>IF(ISNUMBER(L22),IF(J22=100,L22-P22-Q22,IF(J22=50,(L22-P22-Q22)*0.5, 0)),"")</f>
        <v/>
      </c>
      <c r="S22" s="3215"/>
      <c r="T22" s="9"/>
      <c r="U22" s="9"/>
      <c r="V22" s="9"/>
      <c r="W22" s="9"/>
      <c r="X22" s="9"/>
      <c r="Y22" s="9"/>
      <c r="Z22" s="9"/>
      <c r="AA22" s="2826"/>
      <c r="AB22" s="2827"/>
      <c r="AC22" s="2828"/>
      <c r="AD22" s="2828"/>
      <c r="AE22" s="2828"/>
      <c r="AF22" s="2828"/>
      <c r="AG22" s="2828"/>
      <c r="AH22" s="2828"/>
      <c r="AI22" s="2828"/>
      <c r="AJ22" s="2828"/>
      <c r="AK22" s="2772"/>
      <c r="AY22" s="1453"/>
      <c r="BK22" s="1450"/>
      <c r="BL22" s="1107"/>
      <c r="BM22" s="1109"/>
      <c r="BN22" s="1109"/>
      <c r="BO22" s="1109"/>
      <c r="BP22" s="1109"/>
      <c r="BQ22" s="1123"/>
      <c r="BR22" s="1109"/>
      <c r="BS22" s="1109"/>
      <c r="BT22" s="1109"/>
      <c r="BU22" s="1109"/>
      <c r="BV22" s="1109"/>
      <c r="BW22" s="1456" t="s">
        <v>156</v>
      </c>
      <c r="BX22" s="1109"/>
      <c r="BY22" s="1109"/>
      <c r="BZ22" s="1109"/>
      <c r="CA22" s="1109"/>
      <c r="CB22" s="1109"/>
      <c r="CC22" s="1109"/>
      <c r="CD22" s="1109"/>
      <c r="CE22" s="1109"/>
      <c r="CF22" s="1109"/>
      <c r="CG22" s="1109"/>
      <c r="CH22" s="1456"/>
    </row>
    <row r="23" spans="1:86" s="311" customFormat="1" ht="12" hidden="1" customHeight="1">
      <c r="A23" s="3364" t="s">
        <v>1810</v>
      </c>
      <c r="B23" s="2918"/>
      <c r="C23" s="2919"/>
      <c r="D23" s="2920"/>
      <c r="E23" s="2921"/>
      <c r="F23" s="2922"/>
      <c r="G23" s="2923"/>
      <c r="H23" s="2924"/>
      <c r="I23" s="2923"/>
      <c r="J23" s="2925"/>
      <c r="K23" s="3164"/>
      <c r="L23" s="3165"/>
      <c r="M23" s="3165"/>
      <c r="N23" s="3165"/>
      <c r="O23" s="3165"/>
      <c r="P23" s="2859"/>
      <c r="Q23" s="2859"/>
      <c r="R23" s="2859"/>
      <c r="S23" s="3369"/>
      <c r="T23" s="2865"/>
      <c r="U23" s="2865"/>
      <c r="V23" s="2865"/>
      <c r="W23" s="2865"/>
      <c r="X23" s="2865"/>
      <c r="Y23" s="2865"/>
      <c r="Z23" s="2865"/>
      <c r="AA23" s="2826"/>
      <c r="AB23" s="2827"/>
      <c r="AC23" s="2828"/>
      <c r="AD23" s="2828"/>
      <c r="AE23" s="2828"/>
      <c r="AF23" s="2828"/>
      <c r="AG23" s="2828"/>
      <c r="AH23" s="2828"/>
      <c r="AI23" s="2828"/>
      <c r="AJ23" s="2828"/>
      <c r="AK23" s="2772"/>
      <c r="AY23" s="1453"/>
      <c r="BK23" s="1450"/>
      <c r="BL23" s="1107"/>
      <c r="BM23" s="1109"/>
      <c r="BN23" s="1109"/>
      <c r="BO23" s="1109"/>
      <c r="BP23" s="1109"/>
      <c r="BQ23" s="1123"/>
      <c r="BR23" s="1109"/>
      <c r="BS23" s="1109"/>
      <c r="BT23" s="1109"/>
      <c r="BU23" s="1109"/>
      <c r="BV23" s="1109"/>
      <c r="BW23" s="1456" t="s">
        <v>156</v>
      </c>
      <c r="BX23" s="1109"/>
      <c r="BY23" s="1109"/>
      <c r="BZ23" s="1109"/>
      <c r="CA23" s="1109"/>
      <c r="CB23" s="1109"/>
      <c r="CC23" s="1109"/>
      <c r="CD23" s="1109"/>
      <c r="CE23" s="1109"/>
      <c r="CF23" s="1109"/>
      <c r="CG23" s="1109"/>
      <c r="CH23" s="1456"/>
    </row>
    <row r="24" spans="1:86" s="311" customFormat="1" ht="3.95" customHeight="1">
      <c r="A24" s="3367"/>
      <c r="B24" s="2967"/>
      <c r="C24" s="2968"/>
      <c r="D24" s="2969"/>
      <c r="E24" s="2969"/>
      <c r="F24" s="2970"/>
      <c r="G24" s="2971"/>
      <c r="H24" s="2972"/>
      <c r="I24" s="2929"/>
      <c r="J24" s="2929"/>
      <c r="K24" s="2966"/>
      <c r="L24" s="2966"/>
      <c r="M24" s="3029"/>
      <c r="N24" s="3029"/>
      <c r="O24" s="2966"/>
      <c r="P24" s="309"/>
      <c r="Q24" s="309"/>
      <c r="R24" s="309"/>
      <c r="S24" s="3215"/>
      <c r="T24" s="9"/>
      <c r="U24" s="9"/>
      <c r="V24" s="9"/>
      <c r="W24" s="9"/>
      <c r="X24" s="9"/>
      <c r="Y24" s="9"/>
      <c r="Z24" s="9"/>
      <c r="AA24" s="2826"/>
      <c r="AB24" s="2827"/>
      <c r="AC24" s="2828"/>
      <c r="AD24" s="2828"/>
      <c r="AE24" s="2828"/>
      <c r="AF24" s="2828"/>
      <c r="AG24" s="2828"/>
      <c r="AH24" s="2828"/>
      <c r="AI24" s="2828"/>
      <c r="AJ24" s="2828"/>
      <c r="AK24" s="2772"/>
      <c r="AY24" s="1453"/>
      <c r="BK24" s="1450"/>
      <c r="BL24" s="1107"/>
      <c r="BM24" s="1109"/>
      <c r="BN24" s="1109"/>
      <c r="BO24" s="1109"/>
      <c r="BP24" s="1109"/>
      <c r="BQ24" s="1123"/>
      <c r="BR24" s="1109"/>
      <c r="BS24" s="1109"/>
      <c r="BT24" s="1109"/>
      <c r="BU24" s="1109"/>
      <c r="BV24" s="1109"/>
      <c r="BW24" s="1456" t="s">
        <v>156</v>
      </c>
      <c r="BX24" s="1109"/>
      <c r="BY24" s="1109"/>
      <c r="BZ24" s="1109"/>
      <c r="CA24" s="1109"/>
      <c r="CB24" s="1109"/>
      <c r="CC24" s="1109"/>
      <c r="CD24" s="1109"/>
      <c r="CE24" s="1109"/>
      <c r="CF24" s="1109"/>
      <c r="CG24" s="1109"/>
      <c r="CH24" s="1456"/>
    </row>
    <row r="25" spans="1:86" s="311" customFormat="1" ht="12" hidden="1" customHeight="1">
      <c r="A25" s="3368" t="s">
        <v>1943</v>
      </c>
      <c r="B25" s="2995" t="s">
        <v>1938</v>
      </c>
      <c r="C25" s="2805"/>
      <c r="D25" s="2997" t="str">
        <f>IF(AND(OR(E25&lt;150,E25&gt;1200),ISNUMBER(F25),F25&lt;&gt;0),"Jahresmilch?","kg Jahresmilch: ")</f>
        <v xml:space="preserve">kg Jahresmilch: </v>
      </c>
      <c r="E25" s="2998"/>
      <c r="F25" s="2366"/>
      <c r="G25" s="1335"/>
      <c r="H25" s="1719"/>
      <c r="I25" s="1720"/>
      <c r="J25" s="1721"/>
      <c r="K25" s="3162" t="str">
        <f>IF(F25=0,"",(9.3+0.2*(E25-500)/25)*F25)</f>
        <v/>
      </c>
      <c r="L25" s="3163" t="str">
        <f>IF(F25=0,"",IF(D25="Jahresmilch?","Milch?",(13.66+0.5*(E25-500)/25)*F25))</f>
        <v/>
      </c>
      <c r="M25" s="3163" t="str">
        <f>IF(F25=0,"",(6.6+0.16*(E25-500)/25)*F25)</f>
        <v/>
      </c>
      <c r="N25" s="3163" t="str">
        <f>IF(F25=0,"",(28.1+0.83*(E25-500)/25)*F25)</f>
        <v/>
      </c>
      <c r="O25" s="3163" t="str">
        <f>IF(F25=0,"",(1.6+0.06*(E25-500)/25)*F25)</f>
        <v/>
      </c>
      <c r="P25" s="2165" t="str">
        <f>IF(ISNUMBER(L25),IF(G25&lt;=365,L25*(G25/365)*0.1,"Tage?"),"")</f>
        <v/>
      </c>
      <c r="Q25" s="2165" t="str">
        <f>IF(ISNUMBER(L25),IF(OR(H25&gt;24,I25&gt;365),"St,Tg?",IF(G25*2.4+H25*I25&gt;24*365,"L+W?",L25*(H25*I25/24/365))),"")</f>
        <v/>
      </c>
      <c r="R25" s="2165" t="str">
        <f>IF(ISNUMBER(L25),IF(J25=100,L25-P25-Q25,IF(J25=50,(L25-P25-Q25)*0.5, 0)),"")</f>
        <v/>
      </c>
      <c r="S25" s="3215"/>
      <c r="T25" s="9"/>
      <c r="U25" s="9"/>
      <c r="V25" s="9"/>
      <c r="W25" s="9"/>
      <c r="X25" s="9"/>
      <c r="Y25" s="9"/>
      <c r="Z25" s="9"/>
      <c r="AA25" s="2826"/>
      <c r="AB25" s="2827"/>
      <c r="AC25" s="2828"/>
      <c r="AD25" s="2828"/>
      <c r="AE25" s="2828"/>
      <c r="AF25" s="2828"/>
      <c r="AG25" s="2828"/>
      <c r="AH25" s="2828"/>
      <c r="AI25" s="2828"/>
      <c r="AJ25" s="2828"/>
      <c r="AK25" s="2772"/>
      <c r="AY25" s="1453"/>
      <c r="BK25" s="1450"/>
      <c r="BL25" s="1107"/>
      <c r="BM25" s="1109"/>
      <c r="BN25" s="1109"/>
      <c r="BO25" s="1109"/>
      <c r="BP25" s="1109"/>
      <c r="BQ25" s="1123"/>
      <c r="BR25" s="1109"/>
      <c r="BS25" s="1109"/>
      <c r="BT25" s="1109"/>
      <c r="BU25" s="1109"/>
      <c r="BV25" s="1109"/>
      <c r="BW25" s="1456" t="s">
        <v>156</v>
      </c>
      <c r="BX25" s="1109"/>
      <c r="BY25" s="1109"/>
      <c r="BZ25" s="1109"/>
      <c r="CA25" s="1109"/>
      <c r="CB25" s="1109"/>
      <c r="CC25" s="1109"/>
      <c r="CD25" s="1109"/>
      <c r="CE25" s="1109"/>
      <c r="CF25" s="1109"/>
      <c r="CG25" s="1109"/>
      <c r="CH25" s="1456"/>
    </row>
    <row r="26" spans="1:86" s="311" customFormat="1" ht="12" hidden="1" customHeight="1">
      <c r="A26" s="3364" t="s">
        <v>1810</v>
      </c>
      <c r="B26" s="2918"/>
      <c r="C26" s="2919"/>
      <c r="D26" s="2920"/>
      <c r="E26" s="2921"/>
      <c r="F26" s="2922"/>
      <c r="G26" s="2923"/>
      <c r="H26" s="2924"/>
      <c r="I26" s="2923"/>
      <c r="J26" s="2925"/>
      <c r="K26" s="3164"/>
      <c r="L26" s="3165"/>
      <c r="M26" s="3165"/>
      <c r="N26" s="3165"/>
      <c r="O26" s="3165"/>
      <c r="P26" s="2859"/>
      <c r="Q26" s="2859"/>
      <c r="R26" s="2859"/>
      <c r="S26" s="3369"/>
      <c r="T26" s="2865"/>
      <c r="U26" s="2865"/>
      <c r="V26" s="2865"/>
      <c r="W26" s="2865"/>
      <c r="X26" s="2865"/>
      <c r="Y26" s="2865"/>
      <c r="Z26" s="2865"/>
      <c r="AA26" s="2826"/>
      <c r="AB26" s="2827"/>
      <c r="AC26" s="2828"/>
      <c r="AD26" s="2828"/>
      <c r="AE26" s="2828"/>
      <c r="AF26" s="2828"/>
      <c r="AG26" s="2828"/>
      <c r="AH26" s="2828"/>
      <c r="AI26" s="2828"/>
      <c r="AJ26" s="2828"/>
      <c r="AK26" s="2772"/>
      <c r="AY26" s="1453"/>
      <c r="BK26" s="1450"/>
      <c r="BL26" s="1107"/>
      <c r="BM26" s="1109"/>
      <c r="BN26" s="1109"/>
      <c r="BO26" s="1109"/>
      <c r="BP26" s="1109"/>
      <c r="BQ26" s="1123"/>
      <c r="BR26" s="1109"/>
      <c r="BS26" s="1109"/>
      <c r="BT26" s="1109"/>
      <c r="BU26" s="1109"/>
      <c r="BV26" s="1109"/>
      <c r="BW26" s="1456" t="s">
        <v>156</v>
      </c>
      <c r="BX26" s="1109"/>
      <c r="BY26" s="1109"/>
      <c r="BZ26" s="1109"/>
      <c r="CA26" s="1109"/>
      <c r="CB26" s="1109"/>
      <c r="CC26" s="1109"/>
      <c r="CD26" s="1109"/>
      <c r="CE26" s="1109"/>
      <c r="CF26" s="1109"/>
      <c r="CG26" s="1109"/>
      <c r="CH26" s="1456"/>
    </row>
    <row r="27" spans="1:86" s="311" customFormat="1" ht="5.0999999999999996" customHeight="1">
      <c r="A27" s="3366"/>
      <c r="B27" s="2926"/>
      <c r="C27" s="2927"/>
      <c r="D27" s="2928"/>
      <c r="E27" s="2928"/>
      <c r="F27" s="2970"/>
      <c r="G27" s="2971"/>
      <c r="H27" s="2972"/>
      <c r="I27" s="3166"/>
      <c r="J27" s="3167"/>
      <c r="K27" s="2966"/>
      <c r="L27" s="2966"/>
      <c r="M27" s="3029"/>
      <c r="N27" s="3029"/>
      <c r="O27" s="2966"/>
      <c r="P27" s="309"/>
      <c r="Q27" s="309"/>
      <c r="R27" s="309"/>
      <c r="S27" s="3215"/>
      <c r="T27" s="9"/>
      <c r="U27" s="9"/>
      <c r="V27" s="9"/>
      <c r="W27" s="9"/>
      <c r="X27" s="9"/>
      <c r="Y27" s="9"/>
      <c r="Z27" s="9"/>
      <c r="AA27" s="2679"/>
      <c r="AB27" s="319"/>
      <c r="AC27" s="318"/>
      <c r="AD27" s="318"/>
      <c r="AE27" s="318"/>
      <c r="AF27" s="318"/>
      <c r="AG27" s="318"/>
      <c r="AH27" s="318"/>
      <c r="AI27" s="318"/>
      <c r="AJ27" s="318"/>
      <c r="AK27" s="921"/>
      <c r="AY27" s="1453"/>
      <c r="BK27" s="1450"/>
      <c r="BL27" s="1107"/>
      <c r="BM27" s="1109"/>
      <c r="BN27" s="1109"/>
      <c r="BO27" s="1109"/>
      <c r="BP27" s="1109"/>
      <c r="BQ27" s="1123"/>
      <c r="BR27" s="1109"/>
      <c r="BS27" s="1109"/>
      <c r="BT27" s="1109"/>
      <c r="BU27" s="1109"/>
      <c r="BV27" s="1109"/>
      <c r="BW27" s="1456" t="s">
        <v>156</v>
      </c>
      <c r="BX27" s="1109"/>
      <c r="BY27" s="1109"/>
      <c r="BZ27" s="1109"/>
      <c r="CA27" s="1109"/>
      <c r="CB27" s="1109"/>
      <c r="CC27" s="1109"/>
      <c r="CD27" s="1109"/>
      <c r="CE27" s="1109"/>
      <c r="CF27" s="1109"/>
      <c r="CG27" s="1109"/>
      <c r="CH27" s="1456"/>
    </row>
    <row r="28" spans="1:86" s="311" customFormat="1" ht="12" customHeight="1">
      <c r="A28" s="3370"/>
      <c r="B28" s="2683" t="s">
        <v>242</v>
      </c>
      <c r="C28" s="2684"/>
      <c r="D28" s="2682" t="s">
        <v>1850</v>
      </c>
      <c r="E28" s="2681" t="s">
        <v>1815</v>
      </c>
      <c r="F28" s="2970"/>
      <c r="G28" s="2971"/>
      <c r="H28" s="2972"/>
      <c r="I28" s="3166"/>
      <c r="J28" s="3167"/>
      <c r="K28" s="2966"/>
      <c r="L28" s="2966"/>
      <c r="M28" s="3029"/>
      <c r="N28" s="3029"/>
      <c r="O28" s="2966"/>
      <c r="P28" s="309"/>
      <c r="Q28" s="309"/>
      <c r="R28" s="309"/>
      <c r="S28" s="3371" t="str">
        <f>IF(ISNUMBER(F29),"        Vergleich","")</f>
        <v/>
      </c>
      <c r="T28" s="9"/>
      <c r="U28" s="1203" t="str">
        <f>IF(ISNUMBER(F29),"Alter (d)","")</f>
        <v/>
      </c>
      <c r="V28" s="9" t="str">
        <f>IF(ISNUMBER(F29),"SG (kg)","")</f>
        <v/>
      </c>
      <c r="W28" s="2776" t="str">
        <f>IF(ISNUMBER(F29),"M-TZW nach Alter &amp; LG","")</f>
        <v/>
      </c>
      <c r="X28" s="133"/>
      <c r="Y28" s="1203" t="str">
        <f>IF(ISNUMBER(F29),"Kontrolle: Ausstall-LG = SG/0.556","")</f>
        <v/>
      </c>
      <c r="Z28" s="9"/>
      <c r="AA28" s="2735" t="s">
        <v>1866</v>
      </c>
      <c r="AB28" s="319"/>
      <c r="AC28" s="318"/>
      <c r="AD28" s="318"/>
      <c r="AE28" s="318"/>
      <c r="AF28" s="318"/>
      <c r="AG28" s="318"/>
      <c r="AH28" s="318"/>
      <c r="AI28" s="318"/>
      <c r="AJ28" s="318"/>
      <c r="AK28" s="921"/>
      <c r="AY28" s="1453" t="str">
        <f>B28</f>
        <v>Rindviehmast</v>
      </c>
      <c r="AZ28" s="1398" t="s">
        <v>1816</v>
      </c>
      <c r="BA28" s="1398" t="s">
        <v>1817</v>
      </c>
      <c r="BB28" s="2747" t="s">
        <v>1848</v>
      </c>
      <c r="BC28" s="296"/>
      <c r="BD28" s="2747" t="s">
        <v>1849</v>
      </c>
      <c r="BE28" s="296"/>
      <c r="BK28" s="1450" t="s">
        <v>242</v>
      </c>
      <c r="BL28" s="1107"/>
      <c r="BM28" s="1109"/>
      <c r="BN28" s="1109"/>
      <c r="BO28" s="1109"/>
      <c r="BP28" s="1109"/>
      <c r="BQ28" s="1123"/>
      <c r="BR28" s="1109"/>
      <c r="BS28" s="1109"/>
      <c r="BT28" s="1109"/>
      <c r="BU28" s="1109"/>
      <c r="BV28" s="1109"/>
      <c r="BW28" s="1456"/>
      <c r="BX28" s="1109"/>
      <c r="BY28" s="1109"/>
      <c r="BZ28" s="1109"/>
      <c r="CA28" s="1109"/>
      <c r="CB28" s="1109"/>
      <c r="CC28" s="1109"/>
      <c r="CD28" s="1109"/>
      <c r="CE28" s="1109"/>
      <c r="CF28" s="1109"/>
      <c r="CG28" s="1109"/>
      <c r="CH28" s="1456"/>
    </row>
    <row r="29" spans="1:86" s="311" customFormat="1" ht="12" customHeight="1">
      <c r="A29" s="3372"/>
      <c r="B29" s="125" t="s">
        <v>1812</v>
      </c>
      <c r="C29" s="2691"/>
      <c r="D29" s="2692"/>
      <c r="E29" s="2692"/>
      <c r="F29" s="2203"/>
      <c r="G29" s="1335"/>
      <c r="H29" s="1719"/>
      <c r="I29" s="1720"/>
      <c r="J29" s="1721"/>
      <c r="K29" s="3162" t="str">
        <f>IF(OR(D29=0,E29=0,F29=0),"", (21+AZ29/100*(-0.43)+BA29/20*0.58)*$F29)</f>
        <v/>
      </c>
      <c r="L29" s="3163" t="str">
        <f>IF(AND(F29&lt;&gt;0,D29=0),"TZW fehlt",IF(AND(F29&lt;&gt;0,E29=0),"A-LG fehlt",IF(AND(D29&lt;&gt;0,E29&lt;&gt;0,F29&lt;&gt;0),(35.68+AZ29/100*1.408+BA29/20*0.744)*$F29,"")))</f>
        <v/>
      </c>
      <c r="M29" s="3163" t="str">
        <f>IF(AND(D29&lt;&gt;0,E29&lt;&gt;0,F29&lt;&gt;0),(13.4+AZ29/100*0.66+BA29/20*0.32)*$F29,"")</f>
        <v/>
      </c>
      <c r="N29" s="3163" t="str">
        <f>IF(AND(D29&lt;&gt;0,E29&lt;&gt;0,F29&lt;&gt;0),(36.2+AZ29/100*0.1+BA29/20*0.94)*$F29,"")</f>
        <v/>
      </c>
      <c r="O29" s="3163" t="str">
        <f>IF(AND(D29&lt;&gt;0,E29&lt;&gt;0,F29&lt;&gt;0),(5.8+AZ29/100*0.42+BA29/20*0.06)*$F29,"")</f>
        <v/>
      </c>
      <c r="P29" s="2165" t="str">
        <f>IF(ISNUMBER(L29),IF( OR(A29="pou",A29="iemp"),IF(G29&lt;=180,L29*(G29/365)*0.1,"Tage?"),IF(G29&lt;=365,L29*(G29/365)*0.1,"Tage?")),"")</f>
        <v/>
      </c>
      <c r="Q29" s="2165" t="str">
        <f>IF(ISNUMBER(L29),IF(OR(H29&gt;24,I29&gt;365),"St,Tg?",IF(G29*2.4+H29*I29&gt;24*365,"L+W?",L29*(H29*I29/24/365))),"")</f>
        <v/>
      </c>
      <c r="R29" s="2165" t="str">
        <f t="shared" ref="R29:R34" si="0">IF(ISNUMBER(L29),IF(J29=100,L29-P29-Q29,IF(J29=50,(L29-P29-Q29)*0.5, 0)),"")</f>
        <v/>
      </c>
      <c r="S29" s="3373"/>
      <c r="U29" s="1607"/>
      <c r="V29" s="1607"/>
      <c r="W29" s="2776" t="str">
        <f>IF(ISNUMBER(F29),IF(ISBLANK(D29),"M-TZW fehlt",IF(ISBLANK(E29),"Ausstall-LG fehlt",IF(OR(ISBLANK(U29),U29=0),"Schlachtalter fehlt",ROUND(BB29,0)&amp;" g -&gt; weicht "&amp;ABS(ROUND(BB29-D29,0))&amp;" g ab"))),"")</f>
        <v/>
      </c>
      <c r="X29" s="2776"/>
      <c r="Y29" s="1203" t="str">
        <f>IF(ISNUMBER(F29),IF(ISNUMBER(V29),BD29&amp; " kg LG -&gt; weicht " &amp;ABS(ROUND(BD29-E29,0))&amp;" kg ab","Schlachtgewicht (SG) fehlt"),"")</f>
        <v/>
      </c>
      <c r="Z29" s="133"/>
      <c r="AA29" s="2771" t="s">
        <v>1844</v>
      </c>
      <c r="AB29" s="319"/>
      <c r="AC29" s="318"/>
      <c r="AD29" s="318"/>
      <c r="AE29" s="318"/>
      <c r="AF29" s="318"/>
      <c r="AG29" s="318"/>
      <c r="AH29" s="318"/>
      <c r="AI29" s="318"/>
      <c r="AJ29" s="318"/>
      <c r="AK29" s="2772"/>
      <c r="AT29" s="1109"/>
      <c r="AY29" s="1453" t="s">
        <v>1430</v>
      </c>
      <c r="AZ29" s="607" t="str">
        <f>IF(ISNUMBER(D29),IF(D29&lt;850,850-1400,IF(D29&gt;1500,1500-1400,D29-1400)),"TZW fehlt")</f>
        <v>TZW fehlt</v>
      </c>
      <c r="BA29" s="607" t="str">
        <f>IF(ISNUMBER(E29),IF(E29&lt;400,400-530,IF(E29&gt;580,580-530,E29-530)),"AS-LG fehlt")</f>
        <v>AS-LG fehlt</v>
      </c>
      <c r="BB29" s="2745" t="str">
        <f>IF(ISNUMBER(F29),ROUND(1396+3.19*E29-4.29*U29,0),"")</f>
        <v/>
      </c>
      <c r="BC29" s="2746" t="e">
        <f>D29/BB29-1</f>
        <v>#VALUE!</v>
      </c>
      <c r="BD29" s="2745" t="str">
        <f>IF(ISNUMBER(F29),ROUND(V29/0.566,0),"")</f>
        <v/>
      </c>
      <c r="BE29" s="2746" t="e">
        <f>E29/BD29-1</f>
        <v>#VALUE!</v>
      </c>
      <c r="BK29" s="1450"/>
      <c r="BL29" s="1109"/>
      <c r="BM29" s="1109"/>
      <c r="BN29" s="1109"/>
      <c r="BO29" s="1109"/>
      <c r="BP29" s="1109"/>
      <c r="BQ29" s="1123"/>
      <c r="BR29" s="1109"/>
      <c r="BS29" s="1109"/>
      <c r="BT29" s="1109"/>
      <c r="BU29" s="1109"/>
      <c r="BV29" s="1109"/>
      <c r="BW29" s="1456" t="s">
        <v>156</v>
      </c>
      <c r="BX29" s="1109"/>
      <c r="BY29" s="1109"/>
      <c r="BZ29" s="1109"/>
      <c r="CA29" s="1109"/>
      <c r="CB29" s="1109"/>
      <c r="CC29" s="1109"/>
      <c r="CD29" s="1109"/>
      <c r="CE29" s="1109"/>
      <c r="CF29" s="1109"/>
      <c r="CG29" s="1109"/>
      <c r="CH29" s="1456"/>
    </row>
    <row r="30" spans="1:86" s="311" customFormat="1" ht="12" customHeight="1">
      <c r="A30" s="3368">
        <f>IF(ISBLANK(B30),0,VLOOKUP(B30,Daten!$B$289:$E$391,4,FALSE))</f>
        <v>0</v>
      </c>
      <c r="B30" s="3581" t="s">
        <v>945</v>
      </c>
      <c r="C30" s="3582"/>
      <c r="D30" s="3582"/>
      <c r="E30" s="3583"/>
      <c r="F30" s="2203"/>
      <c r="G30" s="1335"/>
      <c r="H30" s="1719"/>
      <c r="I30" s="1720"/>
      <c r="J30" s="1721"/>
      <c r="K30" s="3162" t="str">
        <f>IF(F30=0,"",VLOOKUP($A30,Daten!$E$289:$L$391,4,FALSE)*$F30)</f>
        <v/>
      </c>
      <c r="L30" s="3163" t="str">
        <f>IF(F30&lt;&gt;0,VLOOKUP($A30,Daten!$E$289:$L$391,5,FALSE)*$F30,"")</f>
        <v/>
      </c>
      <c r="M30" s="3163" t="str">
        <f>IF(F30&lt;&gt;0,VLOOKUP($A30,Daten!$E$289:$L$391,6,FALSE)*$F30,"")</f>
        <v/>
      </c>
      <c r="N30" s="3163" t="str">
        <f>IF(F30&lt;&gt;0,VLOOKUP($A30,Daten!$E$289:$L$391,7,FALSE)*$F30,"")</f>
        <v/>
      </c>
      <c r="O30" s="3163" t="str">
        <f>IF(F30&lt;&gt;0,VLOOKUP($A30,Daten!$E$289:$L$391,8,FALSE)*$F30,"")</f>
        <v/>
      </c>
      <c r="P30" s="2165" t="str">
        <f t="shared" ref="P30:P34" si="1">IF(ISNUMBER(L30),IF( OR(A30="pou",A30="iemp"),IF(G30&lt;=180,L30*(G30/365)*0.1,"Tage?"),IF(G30&lt;=365,L30*(G30/365)*0.1,"Tage?")),"")</f>
        <v/>
      </c>
      <c r="Q30" s="2165" t="str">
        <f>IF(ISNUMBER(L30),IF(OR(H30&gt;24,I30&gt;365),"St,Tg?",IF(G30*2.4+H30*I30&gt;24*365,"L+W?",L30*(H30*I30/24/365)*(VLOOKUP($A30,Daten!$E$289:$N$391,10,FALSE)*1))),"")</f>
        <v/>
      </c>
      <c r="R30" s="2165" t="str">
        <f t="shared" si="0"/>
        <v/>
      </c>
      <c r="S30" s="3184"/>
      <c r="T30" s="9"/>
      <c r="U30" s="9"/>
      <c r="V30" s="9"/>
      <c r="W30" s="9"/>
      <c r="X30" s="9"/>
      <c r="Y30" s="9"/>
      <c r="Z30" s="9"/>
      <c r="AA30" s="2804" t="s">
        <v>1889</v>
      </c>
      <c r="AB30" s="2805"/>
      <c r="AC30" s="2805"/>
      <c r="AD30" s="2805"/>
      <c r="AE30" s="2805"/>
      <c r="AF30" s="2805"/>
      <c r="AG30" s="2805"/>
      <c r="AH30" s="2805"/>
      <c r="AI30" s="2805"/>
      <c r="AJ30" s="2805"/>
      <c r="AK30" s="2806"/>
      <c r="AY30" s="1453" t="s">
        <v>1430</v>
      </c>
      <c r="BK30" s="1462"/>
      <c r="BL30" s="1109"/>
      <c r="BM30" s="1109"/>
      <c r="BN30" s="1109"/>
      <c r="BO30" s="1109"/>
      <c r="BP30" s="1109"/>
      <c r="BQ30" s="1123"/>
      <c r="BR30" s="1109"/>
      <c r="BS30" s="1109"/>
      <c r="BT30" s="1109"/>
      <c r="BU30" s="1109"/>
      <c r="BV30" s="1109"/>
      <c r="BW30" s="1456" t="s">
        <v>156</v>
      </c>
      <c r="BX30" s="1109"/>
      <c r="BY30" s="1109"/>
      <c r="BZ30" s="1109"/>
      <c r="CA30" s="1109"/>
      <c r="CB30" s="1109"/>
      <c r="CC30" s="1109"/>
      <c r="CD30" s="1109"/>
      <c r="CE30" s="1109"/>
      <c r="CF30" s="1109"/>
      <c r="CG30" s="1109"/>
      <c r="CH30" s="1456"/>
    </row>
    <row r="31" spans="1:86" s="311" customFormat="1" ht="12" customHeight="1">
      <c r="A31" s="3368">
        <f>IF(ISBLANK(B31),0,VLOOKUP(B31,Daten!$B$289:$E$391,4,FALSE))</f>
        <v>0</v>
      </c>
      <c r="B31" s="3572" t="s">
        <v>945</v>
      </c>
      <c r="C31" s="3573"/>
      <c r="D31" s="3573"/>
      <c r="E31" s="3574"/>
      <c r="F31" s="2203"/>
      <c r="G31" s="1335"/>
      <c r="H31" s="1719"/>
      <c r="I31" s="1720"/>
      <c r="J31" s="1721"/>
      <c r="K31" s="3162" t="str">
        <f>IF(F31=0,"",VLOOKUP($A31,Daten!$E$289:$L$391,4,FALSE)*$F31)</f>
        <v/>
      </c>
      <c r="L31" s="3163" t="str">
        <f>IF(F31&lt;&gt;0,VLOOKUP($A31,Daten!$E$289:$L$391,5,FALSE)*$F31,"")</f>
        <v/>
      </c>
      <c r="M31" s="3163" t="str">
        <f>IF(F31&lt;&gt;0,VLOOKUP($A31,Daten!$E$289:$L$391,6,FALSE)*$F31,"")</f>
        <v/>
      </c>
      <c r="N31" s="3163" t="str">
        <f>IF(F31&lt;&gt;0,VLOOKUP($A31,Daten!$E$289:$L$391,7,FALSE)*$F31,"")</f>
        <v/>
      </c>
      <c r="O31" s="3163" t="str">
        <f>IF(F31&lt;&gt;0,VLOOKUP($A31,Daten!$E$289:$L$391,8,FALSE)*$F31,"")</f>
        <v/>
      </c>
      <c r="P31" s="2165" t="str">
        <f t="shared" si="1"/>
        <v/>
      </c>
      <c r="Q31" s="2165" t="str">
        <f>IF(ISNUMBER(L31),IF(OR(H31&gt;24,I31&gt;365),"St,Tg?",IF(G31*2.4+H31*I31&gt;24*365,"L+W?",L31*(H31*I31/24/365)*(VLOOKUP($A31,Daten!$E$289:$N$391,10,FALSE)*1))),"")</f>
        <v/>
      </c>
      <c r="R31" s="2165" t="str">
        <f t="shared" si="0"/>
        <v/>
      </c>
      <c r="S31" s="3184"/>
      <c r="T31" s="9"/>
      <c r="U31" s="9"/>
      <c r="V31" s="9"/>
      <c r="W31" s="9"/>
      <c r="X31" s="9"/>
      <c r="Y31" s="9"/>
      <c r="Z31" s="9"/>
      <c r="AA31" s="326" t="s">
        <v>860</v>
      </c>
      <c r="AB31" s="319"/>
      <c r="AC31" s="318"/>
      <c r="AD31" s="318"/>
      <c r="AE31" s="318"/>
      <c r="AF31" s="318"/>
      <c r="AG31" s="318"/>
      <c r="AH31" s="318"/>
      <c r="AI31" s="318"/>
      <c r="AJ31" s="318"/>
      <c r="AK31" s="318"/>
      <c r="AY31" s="1453" t="s">
        <v>1430</v>
      </c>
      <c r="BK31" s="1462"/>
      <c r="BL31" s="1109"/>
      <c r="BM31" s="1109"/>
      <c r="BN31" s="1109"/>
      <c r="BO31" s="1109"/>
      <c r="BP31" s="1109"/>
      <c r="BQ31" s="1123"/>
      <c r="BR31" s="1109"/>
      <c r="BS31" s="1109"/>
      <c r="BT31" s="1109"/>
      <c r="BU31" s="1109"/>
      <c r="BV31" s="1109"/>
      <c r="BW31" s="1456" t="s">
        <v>156</v>
      </c>
      <c r="BX31" s="1109"/>
      <c r="BY31" s="1109"/>
      <c r="BZ31" s="1109"/>
      <c r="CA31" s="1109"/>
      <c r="CB31" s="1109"/>
      <c r="CC31" s="1109"/>
      <c r="CD31" s="1109"/>
      <c r="CE31" s="1109"/>
      <c r="CF31" s="1109"/>
      <c r="CG31" s="1109"/>
      <c r="CH31" s="1456"/>
    </row>
    <row r="32" spans="1:86" s="311" customFormat="1" ht="12" customHeight="1">
      <c r="A32" s="3368">
        <f>IF(ISBLANK(B32),0,VLOOKUP(B32,Daten!$B$289:$E$391,4,FALSE))</f>
        <v>0</v>
      </c>
      <c r="B32" s="3572" t="s">
        <v>945</v>
      </c>
      <c r="C32" s="3573"/>
      <c r="D32" s="3573"/>
      <c r="E32" s="3574"/>
      <c r="F32" s="2203"/>
      <c r="G32" s="1335"/>
      <c r="H32" s="1719"/>
      <c r="I32" s="1720"/>
      <c r="J32" s="1721"/>
      <c r="K32" s="3162" t="str">
        <f>IF(F32=0,"",VLOOKUP($A32,Daten!$E$289:$L$391,4,FALSE)*$F32)</f>
        <v/>
      </c>
      <c r="L32" s="3163" t="str">
        <f>IF(F32&lt;&gt;0,VLOOKUP($A32,Daten!$E$289:$L$391,5,FALSE)*$F32,"")</f>
        <v/>
      </c>
      <c r="M32" s="3163" t="str">
        <f>IF(F32&lt;&gt;0,VLOOKUP($A32,Daten!$E$289:$L$391,6,FALSE)*$F32,"")</f>
        <v/>
      </c>
      <c r="N32" s="3163" t="str">
        <f>IF(F32&lt;&gt;0,VLOOKUP($A32,Daten!$E$289:$L$391,7,FALSE)*$F32,"")</f>
        <v/>
      </c>
      <c r="O32" s="3163" t="str">
        <f>IF(F32&lt;&gt;0,VLOOKUP($A32,Daten!$E$289:$L$391,8,FALSE)*$F32,"")</f>
        <v/>
      </c>
      <c r="P32" s="2165" t="str">
        <f t="shared" si="1"/>
        <v/>
      </c>
      <c r="Q32" s="2165" t="str">
        <f>IF(ISNUMBER(L32),IF(OR(H32&gt;24,I32&gt;365),"St,Tg?",IF(G32*2.4+H32*I32&gt;24*365,"L+W?",L32*(H32*I32/24/365)*(VLOOKUP($A32,Daten!$E$289:$N$391,10,FALSE)*1))),"")</f>
        <v/>
      </c>
      <c r="R32" s="2165" t="str">
        <f t="shared" si="0"/>
        <v/>
      </c>
      <c r="S32" s="3374"/>
      <c r="T32" s="39"/>
      <c r="U32" s="39"/>
      <c r="V32" s="39"/>
      <c r="W32" s="39"/>
      <c r="X32" s="24"/>
      <c r="Y32" s="24"/>
      <c r="Z32" s="24"/>
      <c r="AA32" s="326" t="s">
        <v>861</v>
      </c>
      <c r="AB32" s="319"/>
      <c r="AC32" s="327"/>
      <c r="AD32" s="328"/>
      <c r="AE32" s="318"/>
      <c r="AF32" s="318"/>
      <c r="AG32" s="318"/>
      <c r="AH32" s="318"/>
      <c r="AI32" s="318"/>
      <c r="AJ32" s="318"/>
      <c r="AK32" s="318"/>
      <c r="AN32" s="306"/>
      <c r="AO32" s="306"/>
      <c r="AU32" s="318"/>
      <c r="AV32" s="318"/>
      <c r="AW32" s="318"/>
      <c r="AY32" s="1453" t="s">
        <v>1430</v>
      </c>
      <c r="AZ32" s="311" t="s">
        <v>54</v>
      </c>
      <c r="BA32" s="311" t="s">
        <v>54</v>
      </c>
      <c r="BG32" s="428" t="s">
        <v>1254</v>
      </c>
      <c r="BK32" s="1453"/>
      <c r="BL32" s="1109"/>
      <c r="BM32" s="1109"/>
      <c r="BN32" s="1109"/>
      <c r="BO32" s="1109"/>
      <c r="BP32" s="1109"/>
      <c r="BQ32" s="1123"/>
      <c r="BR32" s="1109"/>
      <c r="BS32" s="1109"/>
      <c r="BT32" s="1109"/>
      <c r="BU32" s="1109"/>
      <c r="BV32" s="1109"/>
      <c r="BW32" s="1456" t="s">
        <v>156</v>
      </c>
      <c r="BX32" s="1109"/>
      <c r="BY32" s="1109"/>
      <c r="BZ32" s="1109"/>
      <c r="CA32" s="1109"/>
      <c r="CB32" s="1109"/>
      <c r="CC32" s="1109"/>
      <c r="CD32" s="1109"/>
      <c r="CE32" s="1109"/>
      <c r="CF32" s="1109"/>
      <c r="CG32" s="1109"/>
      <c r="CH32" s="1456"/>
    </row>
    <row r="33" spans="1:86" s="311" customFormat="1" ht="12" customHeight="1">
      <c r="A33" s="3368">
        <f>IF(ISBLANK(B33),0,VLOOKUP(B33,Daten!$B$289:$E$391,4,FALSE))</f>
        <v>0</v>
      </c>
      <c r="B33" s="3572" t="s">
        <v>945</v>
      </c>
      <c r="C33" s="3573"/>
      <c r="D33" s="3573"/>
      <c r="E33" s="3574"/>
      <c r="F33" s="2203"/>
      <c r="G33" s="1335"/>
      <c r="H33" s="1719"/>
      <c r="I33" s="1720"/>
      <c r="J33" s="1721"/>
      <c r="K33" s="3162" t="str">
        <f>IF(F33=0,"",VLOOKUP($A33,Daten!$E$289:$L$391,4,FALSE)*$F33)</f>
        <v/>
      </c>
      <c r="L33" s="3163" t="str">
        <f>IF(F33&lt;&gt;0,VLOOKUP($A33,Daten!$E$289:$L$391,5,FALSE)*$F33,"")</f>
        <v/>
      </c>
      <c r="M33" s="3163" t="str">
        <f>IF(F33&lt;&gt;0,VLOOKUP($A33,Daten!$E$289:$L$391,6,FALSE)*$F33,"")</f>
        <v/>
      </c>
      <c r="N33" s="3163" t="str">
        <f>IF(F33&lt;&gt;0,VLOOKUP($A33,Daten!$E$289:$L$391,7,FALSE)*$F33,"")</f>
        <v/>
      </c>
      <c r="O33" s="3163" t="str">
        <f>IF(F33&lt;&gt;0,VLOOKUP($A33,Daten!$E$289:$L$391,8,FALSE)*$F33,"")</f>
        <v/>
      </c>
      <c r="P33" s="2165" t="str">
        <f t="shared" si="1"/>
        <v/>
      </c>
      <c r="Q33" s="2165" t="str">
        <f>IF(ISNUMBER(L33),IF(OR(H33&gt;24,I33&gt;365),"St,Tg?",IF(G33*2.4+H33*I33&gt;24*365,"L+W?",L33*(H33*I33/24/365)*(VLOOKUP($A33,Daten!$E$289:$N$391,10,FALSE)*1))),"")</f>
        <v/>
      </c>
      <c r="R33" s="2165" t="str">
        <f t="shared" si="0"/>
        <v/>
      </c>
      <c r="S33" s="3375"/>
      <c r="T33" s="107"/>
      <c r="U33" s="107"/>
      <c r="V33" s="107"/>
      <c r="W33" s="107"/>
      <c r="X33" s="24"/>
      <c r="Y33" s="24"/>
      <c r="Z33" s="24"/>
      <c r="AA33" s="1268" t="s">
        <v>1839</v>
      </c>
      <c r="AB33" s="580"/>
      <c r="AC33" s="581"/>
      <c r="AD33" s="581"/>
      <c r="AE33" s="318"/>
      <c r="AF33" s="318"/>
      <c r="AG33" s="330"/>
      <c r="AH33" s="330"/>
      <c r="AI33" s="322"/>
      <c r="AJ33" s="318"/>
      <c r="AK33" s="318"/>
      <c r="AM33" s="329"/>
      <c r="AN33" s="308"/>
      <c r="AO33" s="329"/>
      <c r="AU33" s="318"/>
      <c r="AV33" s="318"/>
      <c r="AW33" s="318"/>
      <c r="AY33" s="1453" t="s">
        <v>54</v>
      </c>
      <c r="AZ33" s="311" t="s">
        <v>54</v>
      </c>
      <c r="BA33" s="1312" t="s">
        <v>834</v>
      </c>
      <c r="BG33" s="428" t="s">
        <v>1248</v>
      </c>
      <c r="BH33" s="311" t="s">
        <v>1249</v>
      </c>
      <c r="BK33" s="1453" t="s">
        <v>54</v>
      </c>
      <c r="BL33" s="1109"/>
      <c r="BM33" s="1109"/>
      <c r="BN33" s="1109"/>
      <c r="BO33" s="1109"/>
      <c r="BP33" s="1109"/>
      <c r="BQ33" s="1123"/>
      <c r="BR33" s="1109"/>
      <c r="BS33" s="1109"/>
      <c r="BT33" s="1109"/>
      <c r="BU33" s="1109"/>
      <c r="BV33" s="1109"/>
      <c r="BW33" s="1456" t="s">
        <v>156</v>
      </c>
      <c r="BX33" s="1109"/>
      <c r="BY33" s="1109"/>
      <c r="BZ33" s="1109"/>
      <c r="CA33" s="1109"/>
      <c r="CB33" s="1109"/>
      <c r="CC33" s="1109"/>
      <c r="CD33" s="1109"/>
      <c r="CE33" s="1109"/>
      <c r="CF33" s="1109"/>
      <c r="CG33" s="1109"/>
      <c r="CH33" s="1456"/>
    </row>
    <row r="34" spans="1:86" s="311" customFormat="1" ht="12" customHeight="1">
      <c r="A34" s="3368">
        <f>IF(ISBLANK(B34),0,VLOOKUP(B34,Daten!$B$289:$E$391,4,FALSE))</f>
        <v>0</v>
      </c>
      <c r="B34" s="3578" t="s">
        <v>945</v>
      </c>
      <c r="C34" s="3579"/>
      <c r="D34" s="3579"/>
      <c r="E34" s="3580"/>
      <c r="F34" s="2203"/>
      <c r="G34" s="1335"/>
      <c r="H34" s="1719"/>
      <c r="I34" s="1720"/>
      <c r="J34" s="1721"/>
      <c r="K34" s="3162" t="str">
        <f>IF(F34=0,"",VLOOKUP($A34,Daten!$E$289:$L$391,4,FALSE)*$F34)</f>
        <v/>
      </c>
      <c r="L34" s="3163" t="str">
        <f>IF(F34&lt;&gt;0,VLOOKUP($A34,Daten!$E$289:$L$391,5,FALSE)*$F34,"")</f>
        <v/>
      </c>
      <c r="M34" s="3163" t="str">
        <f>IF(F34&lt;&gt;0,VLOOKUP($A34,Daten!$E$289:$L$391,6,FALSE)*$F34,"")</f>
        <v/>
      </c>
      <c r="N34" s="3163" t="str">
        <f>IF(F34&lt;&gt;0,VLOOKUP($A34,Daten!$E$289:$L$391,7,FALSE)*$F34,"")</f>
        <v/>
      </c>
      <c r="O34" s="3163" t="str">
        <f>IF(F34&lt;&gt;0,VLOOKUP($A34,Daten!$E$289:$L$391,8,FALSE)*$F34,"")</f>
        <v/>
      </c>
      <c r="P34" s="2165" t="str">
        <f t="shared" si="1"/>
        <v/>
      </c>
      <c r="Q34" s="2165" t="str">
        <f>IF(ISNUMBER(L34),IF(OR(H34&gt;24,I34&gt;365),"St,Tg?",IF(G34*2.4+H34*I34&gt;24*365,"L+W?",L34*(H34*I34/24/365)*(VLOOKUP($A34,Daten!$E$289:$N$391,10,FALSE)*1))),"")</f>
        <v/>
      </c>
      <c r="R34" s="2165" t="str">
        <f t="shared" si="0"/>
        <v/>
      </c>
      <c r="S34" s="3375"/>
      <c r="T34" s="107"/>
      <c r="U34" s="107"/>
      <c r="V34" s="107"/>
      <c r="W34" s="107"/>
      <c r="X34" s="109"/>
      <c r="Y34" s="109"/>
      <c r="Z34" s="109"/>
      <c r="AA34" s="580" t="s">
        <v>1840</v>
      </c>
      <c r="AB34" s="580"/>
      <c r="AC34" s="580"/>
      <c r="AD34" s="581"/>
      <c r="AE34" s="581"/>
      <c r="AF34" s="318"/>
      <c r="AG34" s="318"/>
      <c r="AH34" s="318"/>
      <c r="AI34" s="318"/>
      <c r="AK34" s="318"/>
      <c r="AM34" s="329"/>
      <c r="AN34" s="308"/>
      <c r="AO34" s="329"/>
      <c r="AU34" s="318"/>
      <c r="AV34" s="318"/>
      <c r="AW34" s="318"/>
      <c r="AY34" s="1453" t="s">
        <v>1430</v>
      </c>
      <c r="AZ34" s="311">
        <v>1</v>
      </c>
      <c r="BA34" s="311" t="s">
        <v>470</v>
      </c>
      <c r="BG34" s="428">
        <f>IF(OR(ISNUMBER(Q57),P57=""),0,1)</f>
        <v>0</v>
      </c>
      <c r="BH34" s="1311" t="str">
        <f>IF(BG34=1," Die Höhenlage des Betriebs eintragen (weiter oben) !","")</f>
        <v/>
      </c>
      <c r="BK34" s="1453"/>
      <c r="BL34" s="1109"/>
      <c r="BM34" s="1109"/>
      <c r="BN34" s="1109"/>
      <c r="BO34" s="1109"/>
      <c r="BP34" s="1109"/>
      <c r="BQ34" s="1123"/>
      <c r="BR34" s="1109"/>
      <c r="BS34" s="1109"/>
      <c r="BT34" s="1109"/>
      <c r="BU34" s="1109"/>
      <c r="BV34" s="1109"/>
      <c r="BW34" s="1456" t="s">
        <v>156</v>
      </c>
      <c r="BX34" s="1109"/>
      <c r="BY34" s="1109"/>
      <c r="BZ34" s="1109"/>
      <c r="CA34" s="1109"/>
      <c r="CB34" s="1109"/>
      <c r="CC34" s="1109"/>
      <c r="CD34" s="1109"/>
      <c r="CE34" s="1109"/>
      <c r="CF34" s="1109"/>
      <c r="CG34" s="1109"/>
      <c r="CH34" s="1456"/>
    </row>
    <row r="35" spans="1:86" s="311" customFormat="1" ht="12" customHeight="1">
      <c r="A35" s="3173"/>
      <c r="B35" s="3078"/>
      <c r="C35" s="3075"/>
      <c r="D35" s="3168" t="s">
        <v>1798</v>
      </c>
      <c r="E35" s="3169"/>
      <c r="F35" s="3075"/>
      <c r="G35" s="3075"/>
      <c r="H35" s="3075"/>
      <c r="I35" s="3075"/>
      <c r="J35" s="3137" t="s">
        <v>132</v>
      </c>
      <c r="K35" s="2166">
        <f t="shared" ref="K35:Q35" si="2">SUM(K18:K19,K22:K26,K29:K34)</f>
        <v>0</v>
      </c>
      <c r="L35" s="2167">
        <f>IF(COUNTIF((L18:L34),"M*")&gt;0,"Milch?",SUM(L18:L19,L22:L26,L29:L34))</f>
        <v>0</v>
      </c>
      <c r="M35" s="2167">
        <f t="shared" si="2"/>
        <v>0</v>
      </c>
      <c r="N35" s="2167">
        <f t="shared" si="2"/>
        <v>0</v>
      </c>
      <c r="O35" s="2168">
        <f t="shared" si="2"/>
        <v>0</v>
      </c>
      <c r="P35" s="2169">
        <f t="shared" si="2"/>
        <v>0</v>
      </c>
      <c r="Q35" s="2169">
        <f t="shared" si="2"/>
        <v>0</v>
      </c>
      <c r="R35" s="2170">
        <f>IF(SUM(R18:R19,R22:R26,R29:R34)&lt;0,0,SUM(R18:R19,R22:R26,R29:R34))</f>
        <v>0</v>
      </c>
      <c r="S35" s="3376" t="str">
        <f>IF(SUM(R18:R19,R29:R34)&lt;0," V1 ist negativ = nicht möglich",IF(R35&gt;L35," V1 ist grösser als Nges bei A1 = nicht möglich -&gt; Eingaben korrigieren",""))</f>
        <v/>
      </c>
      <c r="T35" s="24"/>
      <c r="U35" s="24"/>
      <c r="V35" s="24"/>
      <c r="W35" s="24"/>
      <c r="X35" s="109"/>
      <c r="Y35" s="109"/>
      <c r="Z35" s="109"/>
      <c r="AA35" s="1090" t="s">
        <v>1890</v>
      </c>
      <c r="AB35" s="580"/>
      <c r="AC35" s="318"/>
      <c r="AD35" s="318"/>
      <c r="AE35" s="318"/>
      <c r="AF35" s="318"/>
      <c r="AG35" s="318"/>
      <c r="AH35" s="318"/>
      <c r="AK35" s="3569" t="s">
        <v>1968</v>
      </c>
      <c r="AL35" s="3570"/>
      <c r="AM35" s="3570"/>
      <c r="AN35" s="3570"/>
      <c r="AO35" s="3570"/>
      <c r="AP35" s="3570"/>
      <c r="AQ35" s="3570"/>
      <c r="AR35" s="3571"/>
      <c r="AU35" s="318"/>
      <c r="AV35" s="318"/>
      <c r="AW35" s="318"/>
      <c r="AY35" s="1453" t="s">
        <v>1430</v>
      </c>
      <c r="AZ35" s="311">
        <v>2</v>
      </c>
      <c r="BA35" s="1733" t="s">
        <v>498</v>
      </c>
      <c r="BG35" s="428">
        <f>IF(AND(ISNUMBER(G77),G77&lt;BD77),1,0)</f>
        <v>0</v>
      </c>
      <c r="BH35" s="1311" t="str">
        <f>IF(BG35=1," Ertrag intensive Wiesen unter Tiefstwert ("&amp;BD77&amp;" dtTS/ha) --&gt; GF-Flächen + Erträge überprüfen; Anleitung weiter rechts beachten !","")</f>
        <v/>
      </c>
      <c r="BK35" s="1453"/>
      <c r="BL35" s="1109"/>
      <c r="BM35" s="1109"/>
      <c r="BN35" s="1109"/>
      <c r="BO35" s="1109"/>
      <c r="BP35" s="1109"/>
      <c r="BQ35" s="1123"/>
      <c r="BR35" s="1109"/>
      <c r="BS35" s="1109"/>
      <c r="BT35" s="1109"/>
      <c r="BU35" s="1109"/>
      <c r="BV35" s="1109"/>
      <c r="BW35" s="1456" t="s">
        <v>156</v>
      </c>
      <c r="BX35" s="1109"/>
      <c r="BY35" s="1109"/>
      <c r="BZ35" s="1109"/>
      <c r="CA35" s="1109"/>
      <c r="CB35" s="1109"/>
      <c r="CC35" s="1109"/>
      <c r="CD35" s="1109"/>
      <c r="CE35" s="1109"/>
      <c r="CF35" s="1109"/>
      <c r="CG35" s="1109"/>
      <c r="CH35" s="1456"/>
    </row>
    <row r="36" spans="1:86" s="311" customFormat="1" ht="12" customHeight="1">
      <c r="A36" s="3173"/>
      <c r="B36" s="3078"/>
      <c r="C36" s="3075"/>
      <c r="D36" s="3075"/>
      <c r="E36" s="3075"/>
      <c r="F36" s="3078"/>
      <c r="G36" s="3078"/>
      <c r="H36" s="3078"/>
      <c r="I36" s="3075"/>
      <c r="J36" s="3245" t="s">
        <v>2135</v>
      </c>
      <c r="K36" s="3170">
        <f>IF(Q44&lt;0,0,IF((Q44+Q52+Q53)&gt;=K35,K35,SUM(Q44,Q52:Q53)))</f>
        <v>0</v>
      </c>
      <c r="L36" s="3163">
        <f>IF(K35=0,0,-K36*0.6)</f>
        <v>0</v>
      </c>
      <c r="M36" s="3163">
        <f>IF(K35=0,0,-K36*0.1)</f>
        <v>0</v>
      </c>
      <c r="N36" s="3171"/>
      <c r="O36" s="3171"/>
      <c r="P36" s="2171" t="s">
        <v>133</v>
      </c>
      <c r="Q36" s="2171" t="s">
        <v>134</v>
      </c>
      <c r="R36" s="2172" t="s">
        <v>135</v>
      </c>
      <c r="S36" s="3215"/>
      <c r="T36" s="24"/>
      <c r="U36" s="24"/>
      <c r="V36" s="24"/>
      <c r="W36" s="24"/>
      <c r="X36" s="24"/>
      <c r="Y36" s="24"/>
      <c r="Z36" s="24"/>
      <c r="AA36" s="580" t="s">
        <v>722</v>
      </c>
      <c r="AB36" s="580"/>
      <c r="AC36" s="318"/>
      <c r="AD36" s="318"/>
      <c r="AE36" s="318"/>
      <c r="AF36" s="318"/>
      <c r="AG36" s="318"/>
      <c r="AH36" s="322"/>
      <c r="AI36" s="318"/>
      <c r="AM36" s="329"/>
      <c r="AN36" s="308"/>
      <c r="AU36" s="318"/>
      <c r="AV36" s="318"/>
      <c r="AW36" s="318"/>
      <c r="AY36" s="1453" t="s">
        <v>1430</v>
      </c>
      <c r="AZ36" s="311">
        <v>3</v>
      </c>
      <c r="BA36" s="311" t="s">
        <v>472</v>
      </c>
      <c r="BG36" s="428">
        <f>BC72</f>
        <v>0</v>
      </c>
      <c r="BH36" s="1311" t="str">
        <f>IF(BG36=1," Ertrag extensive Wiesen über Maximalwert --&gt; GF-Flächen + Erträge überprüfen; Anleitung weiter rechts beachten !","")</f>
        <v/>
      </c>
      <c r="BK36" s="1453"/>
      <c r="BL36" s="1109"/>
      <c r="BM36" s="1109"/>
      <c r="BN36" s="1109"/>
      <c r="BO36" s="1109"/>
      <c r="BP36" s="1109"/>
      <c r="BQ36" s="1123"/>
      <c r="BR36" s="1109"/>
      <c r="BS36" s="1109"/>
      <c r="BT36" s="1109"/>
      <c r="BU36" s="1109"/>
      <c r="BV36" s="1109"/>
      <c r="BW36" s="1456" t="s">
        <v>156</v>
      </c>
      <c r="BX36" s="1109"/>
      <c r="BY36" s="1109"/>
      <c r="BZ36" s="1109"/>
      <c r="CA36" s="1109"/>
      <c r="CB36" s="1109"/>
      <c r="CC36" s="1109"/>
      <c r="CD36" s="1109"/>
      <c r="CE36" s="1109"/>
      <c r="CF36" s="1109"/>
      <c r="CG36" s="1109"/>
      <c r="CH36" s="1456"/>
    </row>
    <row r="37" spans="1:86" s="311" customFormat="1" ht="12" customHeight="1">
      <c r="A37" s="3173"/>
      <c r="B37" s="3078"/>
      <c r="C37" s="3075"/>
      <c r="D37" s="3075"/>
      <c r="E37" s="3075"/>
      <c r="F37" s="3075"/>
      <c r="G37" s="3075"/>
      <c r="H37" s="3075"/>
      <c r="I37" s="3075"/>
      <c r="J37" s="3245" t="s">
        <v>136</v>
      </c>
      <c r="K37" s="3171"/>
      <c r="L37" s="3163">
        <f>-0.5*P35-0.7*Q35</f>
        <v>0</v>
      </c>
      <c r="M37" s="3171"/>
      <c r="N37" s="3171"/>
      <c r="O37" s="3171"/>
      <c r="P37" s="3172"/>
      <c r="Q37" s="3172"/>
      <c r="R37" s="2170">
        <f>R122</f>
        <v>0</v>
      </c>
      <c r="S37" s="3376" t="str">
        <f>IF(-R122&gt;R35," Wegfuhr von VM-Nges höher als V1 -&gt; Wegfuhr überprüfen","")</f>
        <v/>
      </c>
      <c r="T37" s="24"/>
      <c r="U37" s="24"/>
      <c r="V37" s="24"/>
      <c r="W37" s="24"/>
      <c r="X37" s="9"/>
      <c r="Y37" s="9"/>
      <c r="Z37" s="9"/>
      <c r="AA37" s="326" t="s">
        <v>214</v>
      </c>
      <c r="AB37" s="319"/>
      <c r="AC37" s="318"/>
      <c r="AD37" s="318"/>
      <c r="AE37" s="318"/>
      <c r="AF37" s="318"/>
      <c r="AG37" s="318"/>
      <c r="AH37" s="318"/>
      <c r="AI37" s="318"/>
      <c r="AO37" s="331"/>
      <c r="AP37" s="308"/>
      <c r="AU37" s="318"/>
      <c r="AV37" s="318"/>
      <c r="AW37" s="318"/>
      <c r="AY37" s="1453" t="s">
        <v>1430</v>
      </c>
      <c r="AZ37" s="311">
        <v>4</v>
      </c>
      <c r="BA37" s="311" t="s">
        <v>477</v>
      </c>
      <c r="BG37" s="428">
        <f>BC73</f>
        <v>0</v>
      </c>
      <c r="BH37" s="1311" t="str">
        <f>IF(BG37=1," Ertrag ungedüngte Wiesen über Maximalwert --&gt; GF-Flächen + Erträge überprüfen; Anleitung weiter rechts beachten !","")</f>
        <v/>
      </c>
      <c r="BK37" s="1453"/>
      <c r="BL37" s="1109"/>
      <c r="BM37" s="1109"/>
      <c r="BN37" s="1109"/>
      <c r="BO37" s="1109"/>
      <c r="BP37" s="1109"/>
      <c r="BQ37" s="1123"/>
      <c r="BR37" s="1109"/>
      <c r="BS37" s="1109"/>
      <c r="BT37" s="1109"/>
      <c r="BU37" s="1109"/>
      <c r="BV37" s="1109"/>
      <c r="BW37" s="1456" t="s">
        <v>156</v>
      </c>
      <c r="BX37" s="1109"/>
      <c r="BY37" s="1109"/>
      <c r="BZ37" s="1109"/>
      <c r="CA37" s="1109"/>
      <c r="CB37" s="1109"/>
      <c r="CC37" s="1109"/>
      <c r="CD37" s="1109"/>
      <c r="CE37" s="1109"/>
      <c r="CF37" s="1109"/>
      <c r="CG37" s="1109"/>
      <c r="CH37" s="1456"/>
    </row>
    <row r="38" spans="1:86" s="311" customFormat="1" ht="13.5" customHeight="1">
      <c r="A38" s="3359"/>
      <c r="B38" s="3075"/>
      <c r="C38" s="3075"/>
      <c r="D38" s="114"/>
      <c r="E38" s="3174"/>
      <c r="F38" s="3174"/>
      <c r="G38" s="3175"/>
      <c r="H38" s="3176"/>
      <c r="I38" s="3176"/>
      <c r="J38" s="3176"/>
      <c r="K38" s="3177" t="s">
        <v>1386</v>
      </c>
      <c r="L38" s="2173">
        <f>L35+L36+L37</f>
        <v>0</v>
      </c>
      <c r="M38" s="2173">
        <f>M35+M36</f>
        <v>0</v>
      </c>
      <c r="N38" s="2173">
        <f>N35</f>
        <v>0</v>
      </c>
      <c r="O38" s="2173">
        <f>O35</f>
        <v>0</v>
      </c>
      <c r="P38" s="2929"/>
      <c r="Q38" s="3149"/>
      <c r="R38" s="313" t="s">
        <v>137</v>
      </c>
      <c r="S38" s="3377"/>
      <c r="T38" s="282"/>
      <c r="U38" s="282"/>
      <c r="V38" s="282"/>
      <c r="W38" s="282"/>
      <c r="X38" s="115"/>
      <c r="Y38" s="24"/>
      <c r="Z38" s="24"/>
      <c r="AA38" s="575" t="s">
        <v>1836</v>
      </c>
      <c r="AB38" s="319"/>
      <c r="AC38" s="318"/>
      <c r="AD38" s="318"/>
      <c r="AE38" s="318"/>
      <c r="AF38" s="318"/>
      <c r="AG38" s="318"/>
      <c r="AH38" s="318"/>
      <c r="AI38" s="318"/>
      <c r="AM38" s="333"/>
      <c r="AN38" s="306"/>
      <c r="AU38" s="318"/>
      <c r="AV38" s="318"/>
      <c r="AW38" s="318"/>
      <c r="AY38" s="1453" t="s">
        <v>1430</v>
      </c>
      <c r="AZ38" s="311">
        <v>5</v>
      </c>
      <c r="BA38" s="311" t="s">
        <v>478</v>
      </c>
      <c r="BG38" s="428">
        <f>BC74</f>
        <v>0</v>
      </c>
      <c r="BH38" s="1311" t="str">
        <f>IF(BG38=1," Ertrag extensive Weide über Maximalwert --&gt; GF-Flächen + Erträge überprüfen; Anleitung weiter rechts beachten !","")</f>
        <v/>
      </c>
      <c r="BK38" s="1453"/>
      <c r="BL38" s="1109"/>
      <c r="BM38" s="1109"/>
      <c r="BN38" s="1109"/>
      <c r="BO38" s="1109"/>
      <c r="BP38" s="1109"/>
      <c r="BQ38" s="1123"/>
      <c r="BR38" s="1109"/>
      <c r="BS38" s="1109"/>
      <c r="BT38" s="1109"/>
      <c r="BU38" s="1109"/>
      <c r="BV38" s="1109"/>
      <c r="BW38" s="1456" t="s">
        <v>156</v>
      </c>
      <c r="BX38" s="1109"/>
      <c r="BY38" s="1109"/>
      <c r="BZ38" s="1109"/>
      <c r="CA38" s="1109"/>
      <c r="CB38" s="1109"/>
      <c r="CC38" s="1109"/>
      <c r="CD38" s="1109"/>
      <c r="CE38" s="1109"/>
      <c r="CF38" s="1109"/>
      <c r="CG38" s="1109"/>
      <c r="CH38" s="1456"/>
    </row>
    <row r="39" spans="1:86" s="311" customFormat="1" ht="12" customHeight="1">
      <c r="A39" s="3173"/>
      <c r="B39" s="3075"/>
      <c r="C39" s="3075"/>
      <c r="D39" s="3075"/>
      <c r="E39" s="3075"/>
      <c r="F39" s="3075"/>
      <c r="G39" s="3075"/>
      <c r="H39" s="3075"/>
      <c r="I39" s="3075"/>
      <c r="J39" s="3075"/>
      <c r="K39" s="3178" t="s">
        <v>138</v>
      </c>
      <c r="L39" s="2174">
        <f>J156</f>
        <v>0</v>
      </c>
      <c r="M39" s="2929"/>
      <c r="N39" s="2929"/>
      <c r="O39" s="3107"/>
      <c r="P39" s="2929"/>
      <c r="Q39" s="3179" t="s">
        <v>162</v>
      </c>
      <c r="R39" s="2170">
        <f>R35+R37</f>
        <v>0</v>
      </c>
      <c r="S39" s="3215"/>
      <c r="T39" s="24"/>
      <c r="U39" s="24"/>
      <c r="V39" s="24"/>
      <c r="Y39" s="115"/>
      <c r="Z39" s="115"/>
      <c r="AA39" s="326" t="s">
        <v>1841</v>
      </c>
      <c r="AC39" s="319"/>
      <c r="AD39" s="319"/>
      <c r="AE39" s="318"/>
      <c r="AF39" s="318"/>
      <c r="AG39" s="318"/>
      <c r="AH39" s="318"/>
      <c r="AI39" s="318"/>
      <c r="AU39" s="318"/>
      <c r="AV39" s="318"/>
      <c r="AW39" s="318"/>
      <c r="AY39" s="1453" t="s">
        <v>1430</v>
      </c>
      <c r="AZ39" s="311">
        <v>6</v>
      </c>
      <c r="BA39" s="311" t="s">
        <v>473</v>
      </c>
      <c r="BG39" s="428">
        <f>BC75</f>
        <v>0</v>
      </c>
      <c r="BH39" s="1311" t="str">
        <f>IF(BG39=1," Ertrag wenig intensive Wiesen über Maximalwert --&gt; GF-Flächen + Erträge überprüfen; Anleitung weiter rechts beachten !","")</f>
        <v/>
      </c>
      <c r="BK39" s="1450"/>
      <c r="BL39" s="1109"/>
      <c r="BM39" s="1109"/>
      <c r="BN39" s="1109"/>
      <c r="BO39" s="1109"/>
      <c r="BP39" s="1109"/>
      <c r="BQ39" s="1123"/>
      <c r="BR39" s="1109"/>
      <c r="BS39" s="1109"/>
      <c r="BT39" s="1109"/>
      <c r="BU39" s="1109"/>
      <c r="BV39" s="1109"/>
      <c r="BW39" s="1456" t="s">
        <v>156</v>
      </c>
      <c r="BX39" s="1109"/>
      <c r="BY39" s="1109"/>
      <c r="BZ39" s="1109"/>
      <c r="CA39" s="1109"/>
      <c r="CB39" s="1109"/>
      <c r="CC39" s="1109"/>
      <c r="CD39" s="1109"/>
      <c r="CE39" s="1109"/>
      <c r="CF39" s="1109"/>
      <c r="CG39" s="1109"/>
      <c r="CH39" s="1456"/>
    </row>
    <row r="40" spans="1:86" s="311" customFormat="1" ht="12" customHeight="1">
      <c r="A40" s="3173"/>
      <c r="B40" s="3378"/>
      <c r="C40" s="3075"/>
      <c r="D40" s="3075"/>
      <c r="E40" s="3075"/>
      <c r="F40" s="3075"/>
      <c r="G40" s="3075"/>
      <c r="H40" s="3075"/>
      <c r="I40" s="3075"/>
      <c r="J40" s="3075"/>
      <c r="K40" s="3178"/>
      <c r="L40" s="3180">
        <f>H154</f>
        <v>0.6</v>
      </c>
      <c r="M40" s="3181"/>
      <c r="N40" s="2929"/>
      <c r="O40" s="3182"/>
      <c r="P40" s="3183" t="s">
        <v>1461</v>
      </c>
      <c r="Q40" s="2929"/>
      <c r="R40" s="316">
        <f>IF(AND(IF(R39=0,0,R39/(L35+M122))&gt;=0,IF(R39=0,0,R39/(L35+M122))&lt;=1),IF(R39&lt;=0,0,R39/(L35+M122)),0)</f>
        <v>0</v>
      </c>
      <c r="S40" s="3376" t="str">
        <f>IF(-R122&gt;R35," Wegfuhr von VM-Nges (V2) auf Max.(=V1) gesetzt","")</f>
        <v/>
      </c>
      <c r="T40" s="24"/>
      <c r="U40" s="24"/>
      <c r="V40" s="24"/>
      <c r="W40" s="24"/>
      <c r="X40" s="24"/>
      <c r="Y40" s="24"/>
      <c r="Z40" s="24"/>
      <c r="AA40" s="319"/>
      <c r="AC40" s="319"/>
      <c r="AD40" s="319"/>
      <c r="AE40" s="318"/>
      <c r="AF40" s="318"/>
      <c r="AG40" s="318"/>
      <c r="AH40" s="318"/>
      <c r="AI40" s="318"/>
      <c r="AU40" s="318"/>
      <c r="AV40" s="318"/>
      <c r="AW40" s="318"/>
      <c r="AY40" s="1453" t="s">
        <v>1430</v>
      </c>
      <c r="AZ40" s="311">
        <v>7</v>
      </c>
      <c r="BA40" s="311" t="s">
        <v>475</v>
      </c>
      <c r="BG40" s="428">
        <f>BC76</f>
        <v>0</v>
      </c>
      <c r="BH40" s="1311" t="str">
        <f>IF(BG40=1," Ertrag mittelintensive Wiesen über Maximalwert --&gt; GF-Flächen + Erträge überprüfen; Anleitung weiter rechts beachten !","")</f>
        <v/>
      </c>
      <c r="BK40" s="1450"/>
      <c r="BL40" s="1109"/>
      <c r="BM40" s="1109"/>
      <c r="BN40" s="1109"/>
      <c r="BO40" s="1109"/>
      <c r="BP40" s="1109"/>
      <c r="BQ40" s="1123"/>
      <c r="BR40" s="1109"/>
      <c r="BS40" s="1109"/>
      <c r="BT40" s="1109"/>
      <c r="BU40" s="1109"/>
      <c r="BV40" s="1109"/>
      <c r="BW40" s="1456" t="s">
        <v>156</v>
      </c>
      <c r="BX40" s="1109"/>
      <c r="BY40" s="1109"/>
      <c r="BZ40" s="1109"/>
      <c r="CA40" s="1109"/>
      <c r="CB40" s="1109"/>
      <c r="CC40" s="1109"/>
      <c r="CD40" s="1109"/>
      <c r="CE40" s="1109"/>
      <c r="CF40" s="1109"/>
      <c r="CG40" s="1109"/>
      <c r="CH40" s="1456"/>
    </row>
    <row r="41" spans="1:86" s="311" customFormat="1" ht="2.1" customHeight="1">
      <c r="A41" s="3173"/>
      <c r="B41" s="3075"/>
      <c r="C41" s="3075"/>
      <c r="D41" s="3075"/>
      <c r="E41" s="3075"/>
      <c r="F41" s="3075"/>
      <c r="G41" s="3075"/>
      <c r="H41" s="3075"/>
      <c r="I41" s="3075"/>
      <c r="J41" s="3075"/>
      <c r="K41" s="3075"/>
      <c r="L41" s="3075"/>
      <c r="M41" s="3075"/>
      <c r="N41" s="3075"/>
      <c r="O41" s="3075"/>
      <c r="P41" s="3075"/>
      <c r="Q41" s="3075"/>
      <c r="R41" s="3075"/>
      <c r="S41" s="3184"/>
      <c r="T41" s="9"/>
      <c r="U41" s="9"/>
      <c r="V41" s="9"/>
      <c r="W41" s="9"/>
      <c r="X41" s="24"/>
      <c r="Y41" s="24"/>
      <c r="Z41" s="24"/>
      <c r="AA41" s="319"/>
      <c r="AB41" s="319"/>
      <c r="AC41" s="319"/>
      <c r="AD41" s="319"/>
      <c r="AE41" s="318"/>
      <c r="AF41" s="318"/>
      <c r="AG41" s="318"/>
      <c r="AH41" s="318"/>
      <c r="AI41" s="318"/>
      <c r="AU41" s="318"/>
      <c r="AV41" s="318"/>
      <c r="AW41" s="318"/>
      <c r="AY41" s="1453" t="s">
        <v>1430</v>
      </c>
      <c r="BK41" s="1450"/>
      <c r="BL41" s="1109"/>
      <c r="BM41" s="1109"/>
      <c r="BN41" s="1109"/>
      <c r="BO41" s="1109"/>
      <c r="BP41" s="1109"/>
      <c r="BQ41" s="1123"/>
      <c r="BR41" s="1109"/>
      <c r="BS41" s="1109"/>
      <c r="BT41" s="1109"/>
      <c r="BU41" s="1109"/>
      <c r="BV41" s="1109"/>
      <c r="BW41" s="1456" t="s">
        <v>156</v>
      </c>
      <c r="BX41" s="1109"/>
      <c r="BY41" s="1109"/>
      <c r="BZ41" s="1109"/>
      <c r="CA41" s="1109"/>
      <c r="CB41" s="1109"/>
      <c r="CC41" s="1109"/>
      <c r="CD41" s="1109"/>
      <c r="CE41" s="1109"/>
      <c r="CF41" s="1109"/>
      <c r="CG41" s="1109"/>
      <c r="CH41" s="1456"/>
    </row>
    <row r="42" spans="1:86" s="311" customFormat="1" ht="12" customHeight="1">
      <c r="A42" s="3173"/>
      <c r="B42" s="3075"/>
      <c r="C42" s="3075"/>
      <c r="D42" s="3075"/>
      <c r="E42" s="3075"/>
      <c r="F42" s="3075"/>
      <c r="G42" s="3075"/>
      <c r="H42" s="3075"/>
      <c r="I42" s="3075"/>
      <c r="J42" s="3075"/>
      <c r="K42" s="3075"/>
      <c r="L42" s="3185"/>
      <c r="M42" s="3075"/>
      <c r="N42" s="3075"/>
      <c r="O42" s="3186" t="s">
        <v>163</v>
      </c>
      <c r="P42" s="3187" t="s">
        <v>164</v>
      </c>
      <c r="Q42" s="3187"/>
      <c r="R42" s="3075"/>
      <c r="S42" s="3184"/>
      <c r="T42" s="9"/>
      <c r="U42" s="9"/>
      <c r="V42" s="9"/>
      <c r="W42" s="9"/>
      <c r="X42" s="24"/>
      <c r="Y42" s="24"/>
      <c r="Z42" s="1474"/>
      <c r="AA42" s="1475" t="s">
        <v>1357</v>
      </c>
      <c r="AB42" s="1476"/>
      <c r="AC42" s="1476"/>
      <c r="AD42" s="1476"/>
      <c r="AE42" s="1476"/>
      <c r="AF42" s="1473"/>
      <c r="AG42" s="1473"/>
      <c r="AH42" s="1473"/>
      <c r="AI42" s="1473"/>
      <c r="AJ42" s="1426"/>
      <c r="AK42" s="1426"/>
      <c r="AL42" s="1426"/>
      <c r="AM42" s="1426"/>
      <c r="AU42" s="318"/>
      <c r="AV42" s="318"/>
      <c r="AW42" s="318"/>
      <c r="AY42" s="1453" t="s">
        <v>1430</v>
      </c>
      <c r="AZ42" s="311">
        <v>8</v>
      </c>
      <c r="BA42" s="311" t="s">
        <v>474</v>
      </c>
      <c r="BG42" s="428">
        <f>BC77</f>
        <v>0</v>
      </c>
      <c r="BH42" s="1311" t="str">
        <f>IF(BG42=1," Ertrag intensive Wiesen über Maximalwert --&gt; GF-Flächen + Erträge überprüfen; Anleitung weiter rechts beachten !","")</f>
        <v/>
      </c>
      <c r="BK42" s="1450"/>
      <c r="BL42" s="1415"/>
      <c r="BM42" s="1415"/>
      <c r="BN42" s="1415"/>
      <c r="BO42" s="1415"/>
      <c r="BP42" s="1415"/>
      <c r="BQ42" s="1416"/>
      <c r="BR42" s="1415"/>
      <c r="BS42" s="1426" t="s">
        <v>366</v>
      </c>
      <c r="BT42" s="1426"/>
      <c r="BU42" s="1426"/>
      <c r="BV42" s="1426"/>
      <c r="BW42" s="1457" t="s">
        <v>156</v>
      </c>
      <c r="BX42" s="1109"/>
      <c r="BY42" s="1109"/>
      <c r="BZ42" s="1109"/>
      <c r="CA42" s="1109"/>
      <c r="CB42" s="1109"/>
      <c r="CC42" s="1109"/>
      <c r="CD42" s="1109"/>
      <c r="CE42" s="1109"/>
      <c r="CF42" s="1109"/>
      <c r="CG42" s="1109"/>
      <c r="CH42" s="1477" t="s">
        <v>1424</v>
      </c>
    </row>
    <row r="43" spans="1:86" s="311" customFormat="1" ht="12" customHeight="1">
      <c r="A43" s="3173"/>
      <c r="B43" s="3075"/>
      <c r="C43" s="3075"/>
      <c r="D43" s="3075"/>
      <c r="E43" s="3075"/>
      <c r="F43" s="3075"/>
      <c r="G43" s="3075"/>
      <c r="H43" s="3075"/>
      <c r="I43" s="3075"/>
      <c r="J43" s="3075"/>
      <c r="K43" s="3075"/>
      <c r="L43" s="3185"/>
      <c r="M43" s="3075"/>
      <c r="N43" s="3075"/>
      <c r="O43" s="3188" t="s">
        <v>165</v>
      </c>
      <c r="P43" s="3189" t="s">
        <v>166</v>
      </c>
      <c r="Q43" s="3190" t="s">
        <v>1334</v>
      </c>
      <c r="R43" s="3379"/>
      <c r="S43" s="3184"/>
      <c r="T43" s="9"/>
      <c r="U43" s="9"/>
      <c r="V43" s="9"/>
      <c r="W43" s="9"/>
      <c r="X43" s="24"/>
      <c r="Y43" s="24"/>
      <c r="Z43" s="1474"/>
      <c r="AA43" s="319" t="s">
        <v>824</v>
      </c>
      <c r="AB43" s="322"/>
      <c r="AC43" s="319"/>
      <c r="AD43" s="318"/>
      <c r="AE43" s="318"/>
      <c r="AF43" s="318"/>
      <c r="AG43" s="318"/>
      <c r="AH43" s="318"/>
      <c r="AI43" s="318"/>
      <c r="AU43" s="318"/>
      <c r="AV43" s="318"/>
      <c r="AW43" s="318"/>
      <c r="AY43" s="1453" t="s">
        <v>1430</v>
      </c>
      <c r="AZ43" s="2486">
        <v>9</v>
      </c>
      <c r="BA43" s="311" t="s">
        <v>1697</v>
      </c>
      <c r="BG43" s="2489">
        <f>IF(AND(ISNUMBER(G76),ISNUMBER(G77),G76&gt;G77),1,0)</f>
        <v>0</v>
      </c>
      <c r="BH43" s="1311" t="str">
        <f>IF(BG43=1," Ertrag mittelintensive Wiesen &gt; intensive W. ?","")</f>
        <v/>
      </c>
      <c r="BK43" s="1450"/>
      <c r="BL43" s="1109" t="s">
        <v>325</v>
      </c>
      <c r="BN43" s="1109"/>
      <c r="BO43" s="1109"/>
      <c r="BP43" s="1109"/>
      <c r="BQ43" s="1123"/>
      <c r="BR43" s="1109"/>
      <c r="BS43" s="1426" t="s">
        <v>367</v>
      </c>
      <c r="BT43" s="1426"/>
      <c r="BU43" s="1426"/>
      <c r="BV43" s="1426"/>
      <c r="BW43" s="1457" t="s">
        <v>156</v>
      </c>
      <c r="BX43" s="1109"/>
      <c r="BY43" s="1109"/>
      <c r="BZ43" s="1109"/>
      <c r="CA43" s="1109"/>
      <c r="CB43" s="1109"/>
      <c r="CC43" s="1109"/>
      <c r="CD43" s="1109"/>
      <c r="CE43" s="1109"/>
      <c r="CF43" s="1109"/>
      <c r="CG43" s="1109"/>
      <c r="CH43" s="1456"/>
    </row>
    <row r="44" spans="1:86" s="311" customFormat="1" ht="13.5">
      <c r="A44" s="3173"/>
      <c r="B44" s="3380" t="s">
        <v>110</v>
      </c>
      <c r="C44" s="3075"/>
      <c r="D44" s="3191"/>
      <c r="E44" s="3191"/>
      <c r="F44" s="286" t="s">
        <v>167</v>
      </c>
      <c r="G44" s="268" t="s">
        <v>168</v>
      </c>
      <c r="H44" s="3192"/>
      <c r="I44" s="125" t="s">
        <v>354</v>
      </c>
      <c r="J44" s="125"/>
      <c r="K44" s="3130"/>
      <c r="L44" s="3130"/>
      <c r="M44" s="3130"/>
      <c r="N44" s="126"/>
      <c r="O44" s="2166">
        <f>K35</f>
        <v>0</v>
      </c>
      <c r="P44" s="2175">
        <f>O44-Q44</f>
        <v>0</v>
      </c>
      <c r="Q44" s="2176">
        <f>IF(O44=0,0,IF(Q56-Q45+Q46&lt;0,0,Q56/(1+N52+N53)-Q45+Q46))</f>
        <v>0</v>
      </c>
      <c r="R44" s="3381" t="str">
        <f>"(1)"</f>
        <v>(1)</v>
      </c>
      <c r="S44" s="3184"/>
      <c r="T44" s="9"/>
      <c r="U44" s="9"/>
      <c r="V44" s="9"/>
      <c r="W44" s="9"/>
      <c r="X44" s="9"/>
      <c r="Y44" s="9"/>
      <c r="Z44" s="1470"/>
      <c r="AA44" s="319" t="s">
        <v>825</v>
      </c>
      <c r="AB44" s="322"/>
      <c r="AC44" s="319"/>
      <c r="AD44" s="318"/>
      <c r="AE44" s="322"/>
      <c r="AF44" s="318"/>
      <c r="AG44" s="318"/>
      <c r="AH44" s="318"/>
      <c r="AI44" s="318"/>
      <c r="AJ44" s="318"/>
      <c r="AK44" s="318"/>
      <c r="AY44" s="1453" t="s">
        <v>1430</v>
      </c>
      <c r="AZ44" s="311">
        <v>10</v>
      </c>
      <c r="BA44" s="311" t="s">
        <v>1698</v>
      </c>
      <c r="BG44" s="428">
        <f>IF(AND(ISNUMBER(G75),ISNUMBER(G76),G75&gt;1.1*G76),1,0)</f>
        <v>0</v>
      </c>
      <c r="BH44" s="1311" t="str">
        <f>IF(BG44=1," Ertrag wenig intensive Wiesen &gt; mittelintensive W. ?","")</f>
        <v/>
      </c>
      <c r="BK44" s="1450"/>
      <c r="BL44" s="1109"/>
      <c r="BN44" s="1394" t="s">
        <v>113</v>
      </c>
      <c r="BO44" s="1323" t="s">
        <v>167</v>
      </c>
      <c r="BP44" s="268" t="s">
        <v>168</v>
      </c>
      <c r="BQ44" s="1123"/>
      <c r="BR44" s="1109"/>
      <c r="BS44" s="1424" t="s">
        <v>371</v>
      </c>
      <c r="BT44" s="1396" t="s">
        <v>170</v>
      </c>
      <c r="BU44" s="3526" t="s">
        <v>370</v>
      </c>
      <c r="BV44" s="3527"/>
      <c r="BW44" s="1457" t="s">
        <v>156</v>
      </c>
      <c r="BX44" s="1109"/>
      <c r="BY44" s="1109"/>
      <c r="BZ44" s="1109"/>
      <c r="CA44" s="1109"/>
      <c r="CB44" s="1109"/>
      <c r="CC44" s="1109"/>
      <c r="CD44" s="1109"/>
      <c r="CE44" s="1109"/>
      <c r="CF44" s="1109"/>
      <c r="CG44" s="1109"/>
      <c r="CH44" s="1456"/>
    </row>
    <row r="45" spans="1:86" s="311" customFormat="1" ht="13.5">
      <c r="A45" s="3173"/>
      <c r="B45" s="1329" t="s">
        <v>353</v>
      </c>
      <c r="C45" s="1330"/>
      <c r="D45" s="1331" t="s">
        <v>169</v>
      </c>
      <c r="E45" s="1332" t="s">
        <v>170</v>
      </c>
      <c r="F45" s="287" t="s">
        <v>165</v>
      </c>
      <c r="G45" s="288" t="s">
        <v>165</v>
      </c>
      <c r="H45" s="3158"/>
      <c r="I45" s="3193" t="s">
        <v>108</v>
      </c>
      <c r="J45" s="3075"/>
      <c r="K45" s="3075"/>
      <c r="L45" s="3075"/>
      <c r="M45" s="3075"/>
      <c r="N45" s="3184"/>
      <c r="O45" s="2177">
        <f>SUM(P45:Q45)</f>
        <v>0</v>
      </c>
      <c r="P45" s="2178">
        <f>-SUM(BO56,BO61)</f>
        <v>0</v>
      </c>
      <c r="Q45" s="2179">
        <f>-SUM(BO57:BO58)</f>
        <v>0</v>
      </c>
      <c r="R45" s="3382"/>
      <c r="S45" s="3184"/>
      <c r="T45" s="9"/>
      <c r="U45" s="9"/>
      <c r="V45" s="9"/>
      <c r="W45" s="9"/>
      <c r="X45" s="9"/>
      <c r="Y45" s="9"/>
      <c r="Z45" s="1470"/>
      <c r="AA45" s="322" t="s">
        <v>826</v>
      </c>
      <c r="AB45" s="322"/>
      <c r="AC45" s="319"/>
      <c r="AD45" s="318"/>
      <c r="AE45" s="318"/>
      <c r="AF45" s="318"/>
      <c r="AG45" s="318"/>
      <c r="AH45" s="318"/>
      <c r="AI45" s="318"/>
      <c r="AJ45" s="318"/>
      <c r="AK45" s="318"/>
      <c r="AY45" s="1453" t="s">
        <v>1430</v>
      </c>
      <c r="AZ45" s="2487">
        <v>11</v>
      </c>
      <c r="BA45" s="311" t="s">
        <v>1699</v>
      </c>
      <c r="BG45" s="2488">
        <f>IF(AND(ISNUMBER(G72),ISNUMBER(G75),G72&gt;1.1*G75),1,0)</f>
        <v>0</v>
      </c>
      <c r="BH45" s="1311" t="str">
        <f>IF(BG45=1," Ertrag extensive Wiesen &gt; wenig intensive W. ?","")</f>
        <v/>
      </c>
      <c r="BK45" s="1450"/>
      <c r="BL45" s="1109"/>
      <c r="BN45" s="437"/>
      <c r="BO45" s="1324" t="s">
        <v>165</v>
      </c>
      <c r="BP45" s="288" t="s">
        <v>165</v>
      </c>
      <c r="BQ45" s="1129" t="s">
        <v>359</v>
      </c>
      <c r="BR45" s="1423" t="s">
        <v>360</v>
      </c>
      <c r="BS45" s="454" t="s">
        <v>372</v>
      </c>
      <c r="BT45" s="312" t="s">
        <v>372</v>
      </c>
      <c r="BU45" s="454" t="s">
        <v>368</v>
      </c>
      <c r="BV45" s="1425" t="s">
        <v>369</v>
      </c>
      <c r="BW45" s="1457" t="s">
        <v>156</v>
      </c>
      <c r="BX45" s="1109"/>
      <c r="BY45" s="1109"/>
      <c r="BZ45" s="1109"/>
      <c r="CA45" s="1109"/>
      <c r="CB45" s="1109"/>
      <c r="CC45" s="1109"/>
      <c r="CD45" s="1109"/>
      <c r="CE45" s="1109"/>
      <c r="CF45" s="1109"/>
      <c r="CG45" s="1109"/>
      <c r="CH45" s="1456"/>
    </row>
    <row r="46" spans="1:86" s="311" customFormat="1" ht="12" customHeight="1">
      <c r="A46" s="3173"/>
      <c r="B46" s="3487" t="s">
        <v>945</v>
      </c>
      <c r="C46" s="3488"/>
      <c r="D46" s="2193"/>
      <c r="E46" s="1326"/>
      <c r="F46" s="2195" t="str">
        <f>IF(AND(D46&lt;0,BN46=4),0,IF(BS46=1,"GF-Art?",IF(BT46=1, "%TS?",IF(OR(BU46=1, BV46=1),"%TS zu",IF(AND(D46&lt;0,E46&gt;0,BU46=0,BV46=0,BN46&lt;&gt;0),D46*E46,"")))))</f>
        <v/>
      </c>
      <c r="G46" s="2656" t="str">
        <f>IF(AND(D46&gt;0,E46&gt;0,BU46=0,BV46=0,BN46&lt;&gt;0),D46*E46,IF(AND(BS46=0,BT46=0,BU46=1),"tief, Min.= "&amp;BQ46*100&amp;"% ",IF(AND(BS46=0,BT46=0,BV46=1),"hoch, Max.="&amp;BR46*100&amp;"% ","")))</f>
        <v/>
      </c>
      <c r="H46" s="3194"/>
      <c r="I46" s="3193" t="s">
        <v>107</v>
      </c>
      <c r="J46" s="3133"/>
      <c r="K46" s="3075"/>
      <c r="L46" s="3075"/>
      <c r="M46" s="3077"/>
      <c r="N46" s="3184"/>
      <c r="O46" s="2177">
        <f>SUM(P46:Q46)</f>
        <v>0</v>
      </c>
      <c r="P46" s="2178">
        <f>SUM(BP56,BP61,BP65)</f>
        <v>0</v>
      </c>
      <c r="Q46" s="2179">
        <f>SUM(BP57:BP58,BP60)</f>
        <v>0</v>
      </c>
      <c r="R46" s="3382"/>
      <c r="S46" s="3184"/>
      <c r="T46" s="9"/>
      <c r="U46" s="9"/>
      <c r="V46" s="9"/>
      <c r="W46" s="9"/>
      <c r="X46" s="9"/>
      <c r="Y46" s="9"/>
      <c r="Z46" s="1470"/>
      <c r="AA46" s="322" t="s">
        <v>1891</v>
      </c>
      <c r="AB46" s="322"/>
      <c r="AC46" s="318"/>
      <c r="AD46" s="318"/>
      <c r="AE46" s="318"/>
      <c r="AF46" s="318"/>
      <c r="AG46" s="318"/>
      <c r="AH46" s="318"/>
      <c r="AI46" s="318"/>
      <c r="AJ46" s="318"/>
      <c r="AK46" s="318"/>
      <c r="AY46" s="1453" t="s">
        <v>1430</v>
      </c>
      <c r="AZ46" s="2485">
        <v>12</v>
      </c>
      <c r="BA46" s="311" t="s">
        <v>1250</v>
      </c>
      <c r="BG46" s="428">
        <f>IF(H77&lt;-0.5,1,0)</f>
        <v>0</v>
      </c>
      <c r="BH46" s="1311" t="str">
        <f>IF(BG46=1,"   "&amp;-ROUND(H77,1)&amp;" dt TS weniger produzieren !","")</f>
        <v/>
      </c>
      <c r="BK46" s="1450"/>
      <c r="BL46" s="1109"/>
      <c r="BN46" s="1395">
        <f t="shared" ref="BN46:BN54" si="3">IF(B46&lt;&gt;"",VLOOKUP(B46,Grundfutter_Liste,3,FALSE),0)</f>
        <v>0</v>
      </c>
      <c r="BO46" s="1109"/>
      <c r="BP46" s="1109"/>
      <c r="BQ46" s="1421">
        <f t="shared" ref="BQ46:BQ54" si="4">IF(B46&lt;&gt;"",VLOOKUP(B46,Grundfutter_Liste,4,FALSE),0)</f>
        <v>0</v>
      </c>
      <c r="BR46" s="1422">
        <f t="shared" ref="BR46:BR54" si="5">IF(B46&lt;&gt;"",VLOOKUP(B46,Grundfutter_Liste,5,FALSE),1)</f>
        <v>1</v>
      </c>
      <c r="BS46" s="428">
        <f>IF(ISNA(BN46),1,IF(AND(D46&lt;&gt;0,BN46=0),1,0))</f>
        <v>0</v>
      </c>
      <c r="BT46" s="428">
        <f>IF(AND(ISNUMBER(D46),E46=0), 1,0)</f>
        <v>0</v>
      </c>
      <c r="BU46" s="428">
        <f>IF(AND(BN46&lt;&gt;0,ISNUMBER(E46),E46&lt;BQ46),1,0)</f>
        <v>0</v>
      </c>
      <c r="BV46" s="428">
        <f>IF(AND(BN46&lt;&gt;0,ISNUMBER(E46),E46&gt;BR46),1,0)</f>
        <v>0</v>
      </c>
      <c r="BW46" s="1457" t="s">
        <v>156</v>
      </c>
      <c r="BX46" s="1109"/>
      <c r="BY46" s="1109"/>
      <c r="BZ46" s="1109"/>
      <c r="CA46" s="1109"/>
      <c r="CB46" s="1109"/>
      <c r="CC46" s="1109"/>
      <c r="CD46" s="1109"/>
      <c r="CE46" s="1109"/>
      <c r="CF46" s="1109"/>
      <c r="CG46" s="1109"/>
      <c r="CH46" s="1456"/>
    </row>
    <row r="47" spans="1:86" s="311" customFormat="1" ht="12" customHeight="1">
      <c r="A47" s="3173"/>
      <c r="B47" s="3487" t="s">
        <v>945</v>
      </c>
      <c r="C47" s="3488"/>
      <c r="D47" s="2193"/>
      <c r="E47" s="1326"/>
      <c r="F47" s="2195" t="str">
        <f t="shared" ref="F47:F54" si="6">IF(AND(D47&lt;0,BN47=4),0,IF(BS47=1,"GF-Art?",IF(BT47=1, "%TS?",IF(OR(BU47=1, BV47=1),"%TS zu",IF(AND(D47&lt;0,E47&gt;0,BU47=0,BV47=0,BN47&lt;&gt;0),D47*E47,"")))))</f>
        <v/>
      </c>
      <c r="G47" s="2656" t="str">
        <f>IF(AND(D47&gt;0,E47&gt;0,BU47=0,BV47=0,BN47&lt;&gt;0),D47*E47,IF(AND(BS47=0,BT47=0,BU47=1),"tief, Min.= "&amp;BQ47*100&amp;"% ",IF(AND(BS47=0,BT47=0,BV47=1),"hoch, Max.="&amp;BR47*100&amp;"% ","")))</f>
        <v/>
      </c>
      <c r="H47" s="2929"/>
      <c r="I47" s="3193" t="s">
        <v>106</v>
      </c>
      <c r="J47" s="3075"/>
      <c r="K47" s="3075"/>
      <c r="L47" s="3075"/>
      <c r="M47" s="3075"/>
      <c r="N47" s="3184"/>
      <c r="O47" s="2180"/>
      <c r="P47" s="3171"/>
      <c r="Q47" s="3170"/>
      <c r="R47" s="3383"/>
      <c r="S47" s="3184"/>
      <c r="T47" s="9"/>
      <c r="U47" s="9"/>
      <c r="V47" s="9"/>
      <c r="W47" s="9"/>
      <c r="X47" s="9"/>
      <c r="Y47" s="9"/>
      <c r="Z47" s="1470"/>
      <c r="AA47" s="319" t="s">
        <v>1214</v>
      </c>
      <c r="AB47" s="322"/>
      <c r="AC47" s="318"/>
      <c r="AD47" s="318"/>
      <c r="AE47" s="318"/>
      <c r="AF47" s="318"/>
      <c r="AG47" s="318"/>
      <c r="AH47" s="318"/>
      <c r="AI47" s="318"/>
      <c r="AJ47" s="318"/>
      <c r="AK47" s="318"/>
      <c r="AY47" s="1453" t="s">
        <v>1430</v>
      </c>
      <c r="AZ47" s="2485">
        <v>13</v>
      </c>
      <c r="BA47" s="311" t="s">
        <v>1251</v>
      </c>
      <c r="BG47" s="428">
        <f>IF(AND(F77=0,OR(H77&gt;0.005*O54,H77&gt;2.5)),1,0)</f>
        <v>0</v>
      </c>
      <c r="BH47" s="1311" t="str">
        <f>IF(BG47=1,"   noch "&amp;ROUND(H77,1)&amp;" dt TS produzieren (bzw. Fläche der intensiven Wiesen &amp; Weiden eintragen) !","")</f>
        <v/>
      </c>
      <c r="BK47" s="1450"/>
      <c r="BL47" s="1109"/>
      <c r="BN47" s="1396">
        <f>IF(B47&lt;&gt;"",VLOOKUP(B47,Grundfutter_Liste,3,FALSE),0)</f>
        <v>0</v>
      </c>
      <c r="BO47" s="1109"/>
      <c r="BP47" s="1109"/>
      <c r="BQ47" s="1421">
        <f>IF(B47&lt;&gt;"",VLOOKUP(B47,Grundfutter_Liste,4,FALSE),0)</f>
        <v>0</v>
      </c>
      <c r="BR47" s="1422">
        <f>IF(B47&lt;&gt;"",VLOOKUP(B47,Grundfutter_Liste,5,FALSE),1)</f>
        <v>1</v>
      </c>
      <c r="BS47" s="428">
        <f>IF(ISNA(BN47),1,IF(AND(D47&lt;&gt;0,BN47=0),1,0))</f>
        <v>0</v>
      </c>
      <c r="BT47" s="428">
        <f t="shared" ref="BT47:BT54" si="7">IF(AND(ISNUMBER(D47),E47=0), 1,0)</f>
        <v>0</v>
      </c>
      <c r="BU47" s="428">
        <f t="shared" ref="BU47:BU54" si="8">IF(AND(BN47&lt;&gt;0,ISNUMBER(E47),E47&lt;BQ47),1,0)</f>
        <v>0</v>
      </c>
      <c r="BV47" s="428">
        <f t="shared" ref="BV47:BV54" si="9">IF(AND(BN47&lt;&gt;0,ISNUMBER(E47),E47&gt;BR47),1,0)</f>
        <v>0</v>
      </c>
      <c r="BW47" s="1457" t="s">
        <v>156</v>
      </c>
      <c r="BX47" s="1109"/>
      <c r="BY47" s="1109"/>
      <c r="BZ47" s="1109"/>
      <c r="CA47" s="1109"/>
      <c r="CB47" s="1109"/>
      <c r="CC47" s="1109"/>
      <c r="CD47" s="1109"/>
      <c r="CE47" s="1109"/>
      <c r="CF47" s="1109"/>
      <c r="CG47" s="1109"/>
      <c r="CH47" s="1456"/>
    </row>
    <row r="48" spans="1:86" s="311" customFormat="1" ht="12" customHeight="1">
      <c r="A48" s="3173"/>
      <c r="B48" s="3487" t="s">
        <v>1430</v>
      </c>
      <c r="C48" s="3488"/>
      <c r="D48" s="2193"/>
      <c r="E48" s="1326"/>
      <c r="F48" s="2195" t="str">
        <f t="shared" si="6"/>
        <v/>
      </c>
      <c r="G48" s="2656" t="str">
        <f>IF(AND(D48&gt;0,E48&gt;0,BU48=0,BV48=0,BN48&lt;&gt;0),D48*E48,IF(AND(BS48=0,BT48=0,BU48=1),"tief, Min.= "&amp;BQ48*100&amp;"% ",IF(AND(BS48=0,BT48=0,BV48=1),"hoch, Max.="&amp;BR48*100&amp;"% ","")))</f>
        <v/>
      </c>
      <c r="H48" s="2929"/>
      <c r="I48" s="3195" t="s">
        <v>203</v>
      </c>
      <c r="J48" s="1440"/>
      <c r="K48" s="1440"/>
      <c r="L48" s="1441"/>
      <c r="M48" s="1438" t="s">
        <v>169</v>
      </c>
      <c r="N48" s="1439" t="s">
        <v>170</v>
      </c>
      <c r="O48" s="2181"/>
      <c r="P48" s="3171"/>
      <c r="Q48" s="3171"/>
      <c r="R48" s="3384"/>
      <c r="S48" s="3184"/>
      <c r="T48" s="9"/>
      <c r="U48" s="9"/>
      <c r="V48" s="9"/>
      <c r="W48" s="9"/>
      <c r="X48" s="9"/>
      <c r="Y48" s="9"/>
      <c r="Z48" s="9"/>
      <c r="AA48" s="1294" t="s">
        <v>1215</v>
      </c>
      <c r="AB48" s="1295"/>
      <c r="AC48" s="1296"/>
      <c r="AD48" s="1296"/>
      <c r="AE48" s="1296"/>
      <c r="AF48" s="1296"/>
      <c r="AG48" s="1296"/>
      <c r="AH48" s="1296"/>
      <c r="AI48" s="1296"/>
      <c r="AJ48" s="1296"/>
      <c r="AK48" s="1296"/>
      <c r="AL48" s="1297"/>
      <c r="AM48" s="1297"/>
      <c r="AY48" s="1453" t="s">
        <v>1430</v>
      </c>
      <c r="AZ48" s="311">
        <v>14</v>
      </c>
      <c r="BA48" s="1749" t="s">
        <v>505</v>
      </c>
      <c r="BF48" s="3051" t="s">
        <v>2098</v>
      </c>
      <c r="BG48" s="3050" t="str">
        <f>IF(COUNTIF(S61:S62,"*SM-Ertrag*")&gt;0,1,"")</f>
        <v/>
      </c>
      <c r="BH48" s="1311" t="str">
        <f>IF(BG48=1," Ertrag von Silomais unter 125% des Ertrags der intensiven Wiesen und Weiden --&gt; Erträge überprüfen; Anleitung weiter rechts beachten !","")</f>
        <v/>
      </c>
      <c r="BK48" s="1450"/>
      <c r="BL48" s="1109"/>
      <c r="BN48" s="1396">
        <f t="shared" si="3"/>
        <v>0</v>
      </c>
      <c r="BO48" s="1109"/>
      <c r="BP48" s="1109"/>
      <c r="BQ48" s="1421">
        <f t="shared" si="4"/>
        <v>0</v>
      </c>
      <c r="BR48" s="1422">
        <f t="shared" si="5"/>
        <v>0</v>
      </c>
      <c r="BS48" s="428">
        <f t="shared" ref="BS48:BS54" si="10">IF(ISNA(BN48),1,IF(AND(D48&lt;&gt;0,BN48=0),1,0))</f>
        <v>0</v>
      </c>
      <c r="BT48" s="428">
        <f t="shared" si="7"/>
        <v>0</v>
      </c>
      <c r="BU48" s="428">
        <f t="shared" si="8"/>
        <v>0</v>
      </c>
      <c r="BV48" s="428">
        <f t="shared" si="9"/>
        <v>0</v>
      </c>
      <c r="BW48" s="1457" t="s">
        <v>156</v>
      </c>
      <c r="BX48" s="1109"/>
      <c r="BY48" s="1109"/>
      <c r="BZ48" s="1109"/>
      <c r="CA48" s="1109"/>
      <c r="CB48" s="1109"/>
      <c r="CC48" s="1109"/>
      <c r="CD48" s="1109"/>
      <c r="CE48" s="1109"/>
      <c r="CF48" s="1109"/>
      <c r="CG48" s="1109"/>
      <c r="CH48" s="1456"/>
    </row>
    <row r="49" spans="1:86" s="311" customFormat="1" ht="12" customHeight="1">
      <c r="A49" s="3173"/>
      <c r="B49" s="3487"/>
      <c r="C49" s="3529"/>
      <c r="D49" s="2193"/>
      <c r="E49" s="1326"/>
      <c r="F49" s="2195" t="str">
        <f t="shared" si="6"/>
        <v/>
      </c>
      <c r="G49" s="2656" t="str">
        <f t="shared" ref="G49:G54" si="11">IF(AND(D49&gt;0,E49&gt;0,BU49=0,BV49=0,BN49&lt;&gt;0),D49*E49,IF(AND(BS49=0,BT49=0,BU49=1),"tief, Min.= "&amp;BQ49*100&amp;"% ",IF(AND(BS49=0,BT49=0,BV49=1),"hoch, Max.="&amp;BR49*100&amp;"% ","")))</f>
        <v/>
      </c>
      <c r="H49" s="2929"/>
      <c r="I49" s="3173"/>
      <c r="J49" s="3528"/>
      <c r="K49" s="3488"/>
      <c r="L49" s="3529"/>
      <c r="M49" s="2193"/>
      <c r="N49" s="3196"/>
      <c r="O49" s="2165" t="str">
        <f>IF(AND(ISNUMBER(M49),N49=0),"% TS?",IF(M49&gt;0,N49*M49,""))</f>
        <v/>
      </c>
      <c r="P49" s="3171"/>
      <c r="Q49" s="3171"/>
      <c r="R49" s="3384"/>
      <c r="S49" s="3184"/>
      <c r="T49" s="9"/>
      <c r="U49" s="9"/>
      <c r="V49" s="9"/>
      <c r="W49" s="9"/>
      <c r="X49" s="9"/>
      <c r="Y49" s="9"/>
      <c r="Z49" s="9"/>
      <c r="AA49" s="334" t="s">
        <v>562</v>
      </c>
      <c r="AB49" s="318"/>
      <c r="AC49" s="318"/>
      <c r="AD49" s="318"/>
      <c r="AE49" s="318"/>
      <c r="AF49" s="318"/>
      <c r="AG49" s="318"/>
      <c r="AH49" s="318"/>
      <c r="AI49" s="318"/>
      <c r="AJ49" s="318"/>
      <c r="AK49" s="318"/>
      <c r="AY49" s="1453" t="s">
        <v>1430</v>
      </c>
      <c r="AZ49" s="311">
        <v>15</v>
      </c>
      <c r="BA49" s="311" t="s">
        <v>1472</v>
      </c>
      <c r="BE49" s="314" t="s">
        <v>493</v>
      </c>
      <c r="BF49" s="1725" t="s">
        <v>1473</v>
      </c>
      <c r="BG49" s="428">
        <f>IF(COUNTIF(S72:S77,BF49)&gt;0,1,0)</f>
        <v>0</v>
      </c>
      <c r="BH49" s="1311" t="str">
        <f>IF(BG49=1," erhöhter Ertrag -&gt; nur mit 'Ertragsschätzung' möglich","")</f>
        <v/>
      </c>
      <c r="BK49" s="1450"/>
      <c r="BL49" s="1109"/>
      <c r="BN49" s="1396">
        <f>IF(B49&lt;&gt;"",VLOOKUP(B49,Grundfutter_Liste,3,FALSE),0)</f>
        <v>0</v>
      </c>
      <c r="BO49" s="1109"/>
      <c r="BP49" s="1109"/>
      <c r="BQ49" s="1421">
        <f>IF(B49&lt;&gt;"",VLOOKUP(B49,Grundfutter_Liste,4,FALSE),0)</f>
        <v>0</v>
      </c>
      <c r="BR49" s="1422">
        <f>IF(B49&lt;&gt;"",VLOOKUP(B49,Grundfutter_Liste,5,FALSE),1)</f>
        <v>1</v>
      </c>
      <c r="BS49" s="428">
        <f t="shared" si="10"/>
        <v>0</v>
      </c>
      <c r="BT49" s="428">
        <f t="shared" si="7"/>
        <v>0</v>
      </c>
      <c r="BU49" s="428">
        <f t="shared" si="8"/>
        <v>0</v>
      </c>
      <c r="BV49" s="428">
        <f t="shared" si="9"/>
        <v>0</v>
      </c>
      <c r="BW49" s="1457" t="s">
        <v>156</v>
      </c>
      <c r="BX49" s="1109"/>
      <c r="BY49" s="1109"/>
      <c r="BZ49" s="1109"/>
      <c r="CA49" s="1109"/>
      <c r="CB49" s="1109"/>
      <c r="CC49" s="1109"/>
      <c r="CD49" s="1109"/>
      <c r="CE49" s="1109"/>
      <c r="CF49" s="1109"/>
      <c r="CG49" s="1109"/>
      <c r="CH49" s="1456"/>
    </row>
    <row r="50" spans="1:86" s="311" customFormat="1" ht="12" customHeight="1">
      <c r="A50" s="3173"/>
      <c r="B50" s="3487" t="s">
        <v>1430</v>
      </c>
      <c r="C50" s="3488"/>
      <c r="D50" s="2193"/>
      <c r="E50" s="1326"/>
      <c r="F50" s="2195" t="str">
        <f t="shared" si="6"/>
        <v/>
      </c>
      <c r="G50" s="2656" t="str">
        <f t="shared" si="11"/>
        <v/>
      </c>
      <c r="H50" s="2929"/>
      <c r="I50" s="3197"/>
      <c r="J50" s="3530"/>
      <c r="K50" s="3531"/>
      <c r="L50" s="3532"/>
      <c r="M50" s="2197"/>
      <c r="N50" s="2198"/>
      <c r="O50" s="2182" t="str">
        <f>IF(AND(ISNUMBER(M50),N50=0),"% TS?",IF(M50&gt;0,N50*M50,""))</f>
        <v/>
      </c>
      <c r="P50" s="3198"/>
      <c r="Q50" s="3171"/>
      <c r="R50" s="3075"/>
      <c r="S50" s="3184"/>
      <c r="T50" s="9"/>
      <c r="U50" s="9"/>
      <c r="V50" s="9"/>
      <c r="W50" s="9"/>
      <c r="X50" s="9"/>
      <c r="Y50" s="9"/>
      <c r="Z50" s="334"/>
      <c r="AA50" s="334" t="s">
        <v>545</v>
      </c>
      <c r="AB50" s="318"/>
      <c r="AC50" s="306"/>
      <c r="AD50" s="318"/>
      <c r="AE50" s="318"/>
      <c r="AF50" s="318"/>
      <c r="AG50" s="318"/>
      <c r="AH50" s="318"/>
      <c r="AI50" s="319"/>
      <c r="AJ50" s="318"/>
      <c r="AK50" s="318"/>
      <c r="AY50" s="1453" t="s">
        <v>1430</v>
      </c>
      <c r="AZ50" s="311">
        <v>16</v>
      </c>
      <c r="BA50" s="350" t="s">
        <v>1253</v>
      </c>
      <c r="BG50" s="428">
        <v>1</v>
      </c>
      <c r="BH50" s="1311" t="str">
        <f>IF(BG50=1,"","")</f>
        <v/>
      </c>
      <c r="BK50" s="1450"/>
      <c r="BL50" s="1109"/>
      <c r="BN50" s="1396">
        <f t="shared" si="3"/>
        <v>0</v>
      </c>
      <c r="BO50" s="1109"/>
      <c r="BP50" s="1109"/>
      <c r="BQ50" s="1421">
        <f t="shared" si="4"/>
        <v>0</v>
      </c>
      <c r="BR50" s="1422">
        <f t="shared" si="5"/>
        <v>0</v>
      </c>
      <c r="BS50" s="428">
        <f t="shared" si="10"/>
        <v>0</v>
      </c>
      <c r="BT50" s="428">
        <f t="shared" si="7"/>
        <v>0</v>
      </c>
      <c r="BU50" s="428">
        <f t="shared" si="8"/>
        <v>0</v>
      </c>
      <c r="BV50" s="428">
        <f t="shared" si="9"/>
        <v>0</v>
      </c>
      <c r="BW50" s="1457" t="s">
        <v>156</v>
      </c>
      <c r="BX50" s="1109"/>
      <c r="BY50" s="1109"/>
      <c r="BZ50" s="1109"/>
      <c r="CA50" s="1109"/>
      <c r="CB50" s="1109"/>
      <c r="CC50" s="1109"/>
      <c r="CD50" s="1109"/>
      <c r="CE50" s="1109"/>
      <c r="CF50" s="1109"/>
      <c r="CG50" s="1109"/>
      <c r="CH50" s="1456"/>
    </row>
    <row r="51" spans="1:86" s="311" customFormat="1" ht="12" customHeight="1">
      <c r="A51" s="3173"/>
      <c r="B51" s="3487" t="s">
        <v>1430</v>
      </c>
      <c r="C51" s="3488"/>
      <c r="D51" s="2193"/>
      <c r="E51" s="1326"/>
      <c r="F51" s="2195" t="str">
        <f t="shared" si="6"/>
        <v/>
      </c>
      <c r="G51" s="2656" t="str">
        <f t="shared" si="11"/>
        <v/>
      </c>
      <c r="H51" s="2929"/>
      <c r="I51" s="123" t="s">
        <v>355</v>
      </c>
      <c r="J51" s="1336"/>
      <c r="K51" s="1336"/>
      <c r="L51" s="1336"/>
      <c r="M51" s="3199"/>
      <c r="N51" s="3200"/>
      <c r="O51" s="2177">
        <f>O44+O45-SUM(O46:O50)</f>
        <v>0</v>
      </c>
      <c r="P51" s="2183">
        <f>O51-Q51</f>
        <v>0</v>
      </c>
      <c r="Q51" s="2184">
        <f>Q44+Q45-Q46</f>
        <v>0</v>
      </c>
      <c r="R51" s="3385"/>
      <c r="S51" s="3184"/>
      <c r="T51" s="9"/>
      <c r="U51" s="9"/>
      <c r="V51" s="9"/>
      <c r="W51" s="9"/>
      <c r="X51" s="3"/>
      <c r="Y51" s="3"/>
      <c r="Z51" s="2439" t="s">
        <v>54</v>
      </c>
      <c r="AA51" s="2444" t="s">
        <v>208</v>
      </c>
      <c r="AB51" s="2445"/>
      <c r="AC51" s="2446"/>
      <c r="AD51" s="2446"/>
      <c r="AE51" s="2446"/>
      <c r="AF51" s="2446"/>
      <c r="AG51" s="2446"/>
      <c r="AH51" s="2446"/>
      <c r="AI51" s="2446"/>
      <c r="AJ51" s="2446"/>
      <c r="AK51" s="2446"/>
      <c r="AL51" s="2447"/>
      <c r="AM51" s="2447"/>
      <c r="AN51" s="2447"/>
      <c r="AO51" s="2447"/>
      <c r="AP51" s="2447" t="s">
        <v>54</v>
      </c>
      <c r="AY51" s="1453" t="s">
        <v>1430</v>
      </c>
      <c r="BK51" s="1450"/>
      <c r="BL51" s="1109"/>
      <c r="BN51" s="1396">
        <f t="shared" si="3"/>
        <v>0</v>
      </c>
      <c r="BO51" s="1109"/>
      <c r="BP51" s="1109"/>
      <c r="BQ51" s="1421">
        <f t="shared" si="4"/>
        <v>0</v>
      </c>
      <c r="BR51" s="1422">
        <f t="shared" si="5"/>
        <v>0</v>
      </c>
      <c r="BS51" s="428">
        <f t="shared" si="10"/>
        <v>0</v>
      </c>
      <c r="BT51" s="428">
        <f t="shared" si="7"/>
        <v>0</v>
      </c>
      <c r="BU51" s="428">
        <f t="shared" si="8"/>
        <v>0</v>
      </c>
      <c r="BV51" s="428">
        <f t="shared" si="9"/>
        <v>0</v>
      </c>
      <c r="BW51" s="1457" t="s">
        <v>156</v>
      </c>
      <c r="BX51" s="1109"/>
      <c r="BY51" s="1109"/>
      <c r="BZ51" s="1109"/>
      <c r="CA51" s="1109"/>
      <c r="CB51" s="1109"/>
      <c r="CC51" s="1109"/>
      <c r="CD51" s="1109"/>
      <c r="CE51" s="1109"/>
      <c r="CF51" s="1109"/>
      <c r="CG51" s="1109"/>
      <c r="CH51" s="1456"/>
    </row>
    <row r="52" spans="1:86" s="311" customFormat="1" ht="12" customHeight="1">
      <c r="A52" s="3173"/>
      <c r="B52" s="3487" t="s">
        <v>1430</v>
      </c>
      <c r="C52" s="3488"/>
      <c r="D52" s="2193"/>
      <c r="E52" s="1326"/>
      <c r="F52" s="2195" t="str">
        <f t="shared" si="6"/>
        <v/>
      </c>
      <c r="G52" s="2656" t="str">
        <f t="shared" si="11"/>
        <v/>
      </c>
      <c r="H52" s="2929"/>
      <c r="I52" s="3193" t="s">
        <v>356</v>
      </c>
      <c r="J52" s="3075"/>
      <c r="K52" s="3075"/>
      <c r="L52" s="3075"/>
      <c r="M52" s="3077"/>
      <c r="N52" s="3201"/>
      <c r="O52" s="2185">
        <f>IF(ABS($N52)&lt;=0.05,$N52*O51,"max.5% !")</f>
        <v>0</v>
      </c>
      <c r="P52" s="2186">
        <f>O52-Q52</f>
        <v>0</v>
      </c>
      <c r="Q52" s="2187">
        <f>IF(ABS($N52)&lt;=0.05,$N52*Q51,"")</f>
        <v>0</v>
      </c>
      <c r="R52" s="3381" t="str">
        <f>"(1)"</f>
        <v>(1)</v>
      </c>
      <c r="S52" s="3184"/>
      <c r="T52" s="9"/>
      <c r="U52" s="9"/>
      <c r="V52" s="9"/>
      <c r="W52" s="9"/>
      <c r="X52" s="9"/>
      <c r="Y52" s="9"/>
      <c r="Z52" s="2440"/>
      <c r="AA52" s="325" t="s">
        <v>1361</v>
      </c>
      <c r="AB52" s="336"/>
      <c r="AC52" s="318"/>
      <c r="AD52" s="318"/>
      <c r="AE52" s="306"/>
      <c r="AF52" s="306"/>
      <c r="AG52" s="306"/>
      <c r="AH52" s="306"/>
      <c r="AI52" s="306"/>
      <c r="AJ52" s="318"/>
      <c r="AK52" s="318"/>
      <c r="AP52" s="2447"/>
      <c r="AY52" s="1453" t="s">
        <v>1430</v>
      </c>
      <c r="BA52" s="1313" t="s">
        <v>471</v>
      </c>
      <c r="BK52" s="1450"/>
      <c r="BL52" s="1109"/>
      <c r="BN52" s="1396">
        <f t="shared" si="3"/>
        <v>0</v>
      </c>
      <c r="BO52" s="1109"/>
      <c r="BP52" s="1109"/>
      <c r="BQ52" s="1421">
        <f t="shared" si="4"/>
        <v>0</v>
      </c>
      <c r="BR52" s="1422">
        <f t="shared" si="5"/>
        <v>0</v>
      </c>
      <c r="BS52" s="428">
        <f t="shared" si="10"/>
        <v>0</v>
      </c>
      <c r="BT52" s="428">
        <f t="shared" si="7"/>
        <v>0</v>
      </c>
      <c r="BU52" s="428">
        <f t="shared" si="8"/>
        <v>0</v>
      </c>
      <c r="BV52" s="428">
        <f t="shared" si="9"/>
        <v>0</v>
      </c>
      <c r="BW52" s="1457" t="s">
        <v>156</v>
      </c>
      <c r="BX52" s="1109"/>
      <c r="BY52" s="1109"/>
      <c r="BZ52" s="1109"/>
      <c r="CA52" s="1109"/>
      <c r="CB52" s="1109"/>
      <c r="CC52" s="1109"/>
      <c r="CD52" s="1109"/>
      <c r="CE52" s="1109"/>
      <c r="CF52" s="1109"/>
      <c r="CG52" s="1109"/>
      <c r="CH52" s="1456"/>
    </row>
    <row r="53" spans="1:86" s="311" customFormat="1" ht="12" customHeight="1">
      <c r="A53" s="3173"/>
      <c r="B53" s="3487" t="s">
        <v>1430</v>
      </c>
      <c r="C53" s="3488"/>
      <c r="D53" s="2193"/>
      <c r="E53" s="1326"/>
      <c r="F53" s="2195" t="str">
        <f t="shared" si="6"/>
        <v/>
      </c>
      <c r="G53" s="2656" t="str">
        <f t="shared" si="11"/>
        <v/>
      </c>
      <c r="H53" s="2929"/>
      <c r="I53" s="3193" t="s">
        <v>357</v>
      </c>
      <c r="J53" s="3075"/>
      <c r="K53" s="3075"/>
      <c r="L53" s="3075"/>
      <c r="M53" s="3075"/>
      <c r="N53" s="3202"/>
      <c r="O53" s="2165">
        <f>IF(ABS($N53)&lt;=0.05,$N53*O51,"max.5% !")</f>
        <v>0</v>
      </c>
      <c r="P53" s="2188">
        <f>O53-Q53</f>
        <v>0</v>
      </c>
      <c r="Q53" s="2189">
        <f>IF(ABS($N53)&lt;=0.05,$N53*Q51,"")</f>
        <v>0</v>
      </c>
      <c r="R53" s="3381" t="str">
        <f>"(1)"</f>
        <v>(1)</v>
      </c>
      <c r="S53" s="3386"/>
      <c r="T53" s="285"/>
      <c r="U53" s="285"/>
      <c r="V53" s="285"/>
      <c r="W53" s="285"/>
      <c r="X53" s="9"/>
      <c r="Y53" s="9"/>
      <c r="Z53" s="2440"/>
      <c r="AA53" s="319" t="s">
        <v>1667</v>
      </c>
      <c r="AF53" s="318"/>
      <c r="AG53" s="318"/>
      <c r="AH53" s="318"/>
      <c r="AI53" s="319"/>
      <c r="AJ53" s="318"/>
      <c r="AK53" s="318"/>
      <c r="AP53" s="2447"/>
      <c r="AY53" s="1453" t="s">
        <v>1430</v>
      </c>
      <c r="AZ53" s="311">
        <v>1</v>
      </c>
      <c r="BA53" s="311" t="s">
        <v>210</v>
      </c>
      <c r="BG53" s="428">
        <f>IF(AND( -SUM(BO57:BP57)&gt;SUM(H72:H73)+0.5,BO57&lt;-50),1,0)</f>
        <v>0</v>
      </c>
      <c r="BH53" s="1314" t="str">
        <f>IF(BG53=1," GF-Wegfuhr von ext. Wiesen ist grösser als Ertrag von ungedüngte Wiesen  -&gt; überprüfen!","")</f>
        <v/>
      </c>
      <c r="BK53" s="1450"/>
      <c r="BL53" s="1109"/>
      <c r="BN53" s="1396">
        <f t="shared" si="3"/>
        <v>0</v>
      </c>
      <c r="BO53" s="1109"/>
      <c r="BP53" s="1109"/>
      <c r="BQ53" s="1421">
        <f t="shared" si="4"/>
        <v>0</v>
      </c>
      <c r="BR53" s="1422">
        <f t="shared" si="5"/>
        <v>0</v>
      </c>
      <c r="BS53" s="428">
        <f t="shared" si="10"/>
        <v>0</v>
      </c>
      <c r="BT53" s="428">
        <f t="shared" si="7"/>
        <v>0</v>
      </c>
      <c r="BU53" s="428">
        <f t="shared" si="8"/>
        <v>0</v>
      </c>
      <c r="BV53" s="428">
        <f t="shared" si="9"/>
        <v>0</v>
      </c>
      <c r="BW53" s="1457" t="s">
        <v>156</v>
      </c>
      <c r="BX53" s="1109"/>
      <c r="BY53" s="1109"/>
      <c r="BZ53" s="1109"/>
      <c r="CA53" s="1109"/>
      <c r="CB53" s="1109"/>
      <c r="CC53" s="1109"/>
      <c r="CD53" s="1109"/>
      <c r="CE53" s="1109"/>
      <c r="CF53" s="1109"/>
      <c r="CG53" s="1109"/>
      <c r="CH53" s="1456"/>
    </row>
    <row r="54" spans="1:86" s="311" customFormat="1" ht="12" customHeight="1">
      <c r="A54" s="3173"/>
      <c r="B54" s="3511" t="s">
        <v>1430</v>
      </c>
      <c r="C54" s="3512"/>
      <c r="D54" s="2194"/>
      <c r="E54" s="3203"/>
      <c r="F54" s="2196" t="str">
        <f t="shared" si="6"/>
        <v/>
      </c>
      <c r="G54" s="2657" t="str">
        <f t="shared" si="11"/>
        <v/>
      </c>
      <c r="H54" s="2929"/>
      <c r="I54" s="291" t="s">
        <v>358</v>
      </c>
      <c r="J54" s="2812"/>
      <c r="K54" s="2812"/>
      <c r="L54" s="2812"/>
      <c r="M54" s="2812"/>
      <c r="N54" s="43"/>
      <c r="O54" s="2190">
        <f>SUM(O51:O53)</f>
        <v>0</v>
      </c>
      <c r="P54" s="2191">
        <f>O54-Q54</f>
        <v>0</v>
      </c>
      <c r="Q54" s="2192">
        <f>SUM(Q51:Q53)</f>
        <v>0</v>
      </c>
      <c r="R54" s="3387"/>
      <c r="S54" s="3184"/>
      <c r="T54" s="9"/>
      <c r="U54" s="9"/>
      <c r="V54" s="9"/>
      <c r="W54" s="9"/>
      <c r="X54" s="9"/>
      <c r="Y54" s="9"/>
      <c r="Z54" s="2440"/>
      <c r="AA54" s="1316" t="s">
        <v>535</v>
      </c>
      <c r="AB54" s="337"/>
      <c r="AH54" s="318"/>
      <c r="AI54" s="318"/>
      <c r="AJ54" s="318"/>
      <c r="AK54" s="318"/>
      <c r="AM54" s="319"/>
      <c r="AN54" s="318"/>
      <c r="AO54" s="306"/>
      <c r="AP54" s="2446"/>
      <c r="AQ54" s="318"/>
      <c r="AR54" s="318"/>
      <c r="AS54" s="318"/>
      <c r="AY54" s="1453" t="s">
        <v>1430</v>
      </c>
      <c r="AZ54" s="311">
        <v>2</v>
      </c>
      <c r="BA54" s="311" t="s">
        <v>211</v>
      </c>
      <c r="BG54" s="428">
        <f>IF(AND(-SUM(BO58:BP58)&gt;H75+0.5, BO58&lt;-50),1,0)</f>
        <v>0</v>
      </c>
      <c r="BH54" s="1314" t="str">
        <f>IF(BG54=1," GF-Wegfuhr von wenig int. Wiesen ist grösser als Produktion -&gt; überprüfen!","")</f>
        <v/>
      </c>
      <c r="BK54" s="1450"/>
      <c r="BL54" s="1109"/>
      <c r="BN54" s="312">
        <f t="shared" si="3"/>
        <v>0</v>
      </c>
      <c r="BO54" s="1109"/>
      <c r="BP54" s="1109"/>
      <c r="BQ54" s="1421">
        <f t="shared" si="4"/>
        <v>0</v>
      </c>
      <c r="BR54" s="1422">
        <f t="shared" si="5"/>
        <v>0</v>
      </c>
      <c r="BS54" s="428">
        <f t="shared" si="10"/>
        <v>0</v>
      </c>
      <c r="BT54" s="428">
        <f t="shared" si="7"/>
        <v>0</v>
      </c>
      <c r="BU54" s="428">
        <f t="shared" si="8"/>
        <v>0</v>
      </c>
      <c r="BV54" s="428">
        <f t="shared" si="9"/>
        <v>0</v>
      </c>
      <c r="BW54" s="1457" t="s">
        <v>156</v>
      </c>
      <c r="BX54" s="1109"/>
      <c r="BY54" s="1109"/>
      <c r="BZ54" s="1109"/>
      <c r="CA54" s="1109"/>
      <c r="CB54" s="1109"/>
      <c r="CC54" s="1109"/>
      <c r="CD54" s="1109"/>
      <c r="CE54" s="1109"/>
      <c r="CF54" s="1109"/>
      <c r="CG54" s="1109"/>
      <c r="CH54" s="1456"/>
    </row>
    <row r="55" spans="1:86" s="311" customFormat="1" ht="3" customHeight="1">
      <c r="A55" s="3173"/>
      <c r="B55" s="3075"/>
      <c r="C55" s="3204"/>
      <c r="D55" s="3204"/>
      <c r="E55" s="3204"/>
      <c r="F55" s="3204"/>
      <c r="G55" s="3204"/>
      <c r="H55" s="3075"/>
      <c r="I55" s="3075"/>
      <c r="J55" s="3075"/>
      <c r="K55" s="3075"/>
      <c r="L55" s="3075"/>
      <c r="M55" s="3075"/>
      <c r="N55" s="3137"/>
      <c r="O55" s="3205"/>
      <c r="P55" s="3206"/>
      <c r="Q55" s="3206"/>
      <c r="R55" s="3075"/>
      <c r="S55" s="3184"/>
      <c r="T55" s="9"/>
      <c r="U55" s="9"/>
      <c r="V55" s="9"/>
      <c r="W55" s="9"/>
      <c r="X55" s="9"/>
      <c r="Y55" s="9"/>
      <c r="Z55" s="2440"/>
      <c r="AA55" s="3538" t="s">
        <v>534</v>
      </c>
      <c r="AB55" s="3538"/>
      <c r="AC55" s="3538"/>
      <c r="AD55" s="3538"/>
      <c r="AE55" s="3538"/>
      <c r="AF55" s="3538"/>
      <c r="AG55" s="3538"/>
      <c r="AH55" s="3538"/>
      <c r="AI55" s="3538"/>
      <c r="AJ55" s="3538"/>
      <c r="AK55" s="3538"/>
      <c r="AL55" s="3538"/>
      <c r="AM55" s="3538"/>
      <c r="AN55" s="3538"/>
      <c r="AO55" s="3538"/>
      <c r="AP55" s="2448"/>
      <c r="AQ55" s="318"/>
      <c r="AR55" s="306"/>
      <c r="AS55" s="306"/>
      <c r="AX55" s="428"/>
      <c r="AY55" s="1453" t="s">
        <v>1430</v>
      </c>
      <c r="AZ55" s="311">
        <v>3</v>
      </c>
      <c r="BA55" s="311" t="s">
        <v>1252</v>
      </c>
      <c r="BG55" s="428">
        <f>IF(AND(BG46=0,BG47=0,P44&lt;-50),1,0)</f>
        <v>0</v>
      </c>
      <c r="BH55" s="1314" t="str">
        <f>IF(BG55=1,"Mengen von Zu- und Wegfuhren mit der Produktion von 'normalem' und 'extensivem' GF überprüfen","")</f>
        <v/>
      </c>
      <c r="BK55" s="1450"/>
      <c r="BL55" s="1109"/>
      <c r="BN55" s="1325"/>
      <c r="BO55" s="1109"/>
      <c r="BP55" s="1109"/>
      <c r="BQ55" s="1123"/>
      <c r="BR55" s="1109"/>
      <c r="BS55" s="428"/>
      <c r="BT55" s="428"/>
      <c r="BU55" s="428"/>
      <c r="BW55" s="1457" t="s">
        <v>156</v>
      </c>
      <c r="BX55" s="1109"/>
      <c r="BY55" s="1109"/>
      <c r="BZ55" s="1109"/>
      <c r="CA55" s="1109"/>
      <c r="CB55" s="1109"/>
      <c r="CC55" s="1109"/>
      <c r="CD55" s="1109"/>
      <c r="CE55" s="1109"/>
      <c r="CF55" s="1109"/>
      <c r="CG55" s="1109"/>
      <c r="CH55" s="1456"/>
    </row>
    <row r="56" spans="1:86" s="315" customFormat="1" ht="12" customHeight="1">
      <c r="A56" s="3152"/>
      <c r="B56" s="3388"/>
      <c r="C56" s="3207"/>
      <c r="D56" s="3207"/>
      <c r="E56" s="3207"/>
      <c r="F56" s="3207"/>
      <c r="G56" s="3207"/>
      <c r="H56" s="3207"/>
      <c r="I56" s="3075"/>
      <c r="J56" s="3077"/>
      <c r="K56" s="3077"/>
      <c r="L56" s="3075"/>
      <c r="M56" s="3077"/>
      <c r="N56" s="3075"/>
      <c r="O56" s="3107"/>
      <c r="P56" s="3208" t="str">
        <f>IF(ABS(N52)&gt;0.05, "Lagerungs- und Krippverluste überprüfen",IF(AND(K35=0,N52&gt;0.025 ),"keine Krippenverluste möglich -&gt; max. 2.5% Lagerverluste ",""))</f>
        <v/>
      </c>
      <c r="Q56" s="3209">
        <f>SUM(H72:H75)+H70</f>
        <v>0</v>
      </c>
      <c r="R56" s="3075"/>
      <c r="S56" s="3213"/>
      <c r="T56" s="4"/>
      <c r="U56" s="4"/>
      <c r="V56" s="4"/>
      <c r="W56" s="4"/>
      <c r="X56" s="117"/>
      <c r="Y56" s="117"/>
      <c r="Z56" s="2441"/>
      <c r="AA56" s="3538"/>
      <c r="AB56" s="3538"/>
      <c r="AC56" s="3538"/>
      <c r="AD56" s="3538"/>
      <c r="AE56" s="3538"/>
      <c r="AF56" s="3538"/>
      <c r="AG56" s="3538"/>
      <c r="AH56" s="3538"/>
      <c r="AI56" s="3538"/>
      <c r="AJ56" s="3538"/>
      <c r="AK56" s="3538"/>
      <c r="AL56" s="3538"/>
      <c r="AM56" s="3538"/>
      <c r="AN56" s="3538"/>
      <c r="AO56" s="3538"/>
      <c r="AP56" s="2448"/>
      <c r="AQ56" s="306"/>
      <c r="AR56" s="306"/>
      <c r="AS56" s="306"/>
      <c r="AU56" s="318"/>
      <c r="AV56" s="318"/>
      <c r="AW56" s="323"/>
      <c r="AX56" s="427"/>
      <c r="AY56" s="1453" t="s">
        <v>1430</v>
      </c>
      <c r="AZ56" s="311">
        <v>4</v>
      </c>
      <c r="BA56" s="350" t="s">
        <v>1253</v>
      </c>
      <c r="BB56" s="311"/>
      <c r="BC56" s="311"/>
      <c r="BD56" s="311"/>
      <c r="BE56" s="311"/>
      <c r="BF56" s="311"/>
      <c r="BG56" s="428">
        <v>1</v>
      </c>
      <c r="BH56" s="1311" t="str">
        <f>IF(BG56=1,"","")</f>
        <v/>
      </c>
      <c r="BI56" s="311"/>
      <c r="BJ56" s="311"/>
      <c r="BK56" s="1450"/>
      <c r="BL56" s="1397" t="s">
        <v>339</v>
      </c>
      <c r="BM56" s="1218"/>
      <c r="BN56" s="1398">
        <v>1</v>
      </c>
      <c r="BO56" s="1399">
        <f>SUMIF(BN46:BN54,BN56,F46:F54)</f>
        <v>0</v>
      </c>
      <c r="BP56" s="1400">
        <f>SUMIF(BN46:BN54,BN56,G46:G54)</f>
        <v>0</v>
      </c>
      <c r="BQ56" s="1123"/>
      <c r="BR56" s="1109"/>
      <c r="BS56" s="428"/>
      <c r="BT56" s="427"/>
      <c r="BU56" s="427"/>
      <c r="BW56" s="1457" t="s">
        <v>156</v>
      </c>
      <c r="BX56" s="1110"/>
      <c r="BY56" s="1110"/>
      <c r="BZ56" s="1110"/>
      <c r="CA56" s="1110"/>
      <c r="CB56" s="1110"/>
      <c r="CC56" s="1110"/>
      <c r="CD56" s="1110"/>
      <c r="CE56" s="1110"/>
      <c r="CF56" s="1110"/>
      <c r="CG56" s="1110"/>
      <c r="CH56" s="1463"/>
    </row>
    <row r="57" spans="1:86" s="311" customFormat="1" ht="12" customHeight="1">
      <c r="A57" s="3152" t="s">
        <v>216</v>
      </c>
      <c r="B57" s="3075"/>
      <c r="C57" s="3075"/>
      <c r="D57" s="3075"/>
      <c r="E57" s="3075"/>
      <c r="F57" s="3075"/>
      <c r="G57" s="3075"/>
      <c r="H57" s="3075"/>
      <c r="I57" s="3075"/>
      <c r="J57" s="3075"/>
      <c r="K57" s="3075"/>
      <c r="L57" s="3075"/>
      <c r="M57" s="3075"/>
      <c r="N57" s="3210"/>
      <c r="O57" s="3141"/>
      <c r="P57" s="3211" t="str">
        <f>IF(AND(Q57&gt;0,ISNUMBER(Q57)),"Höhenlage Betrieb:",IF(AND(F78=0,H78=0),"","Die Höhenlage des Betriebs eintragen -&gt;"))</f>
        <v/>
      </c>
      <c r="Q57" s="3212"/>
      <c r="R57" s="3082"/>
      <c r="S57" s="3215"/>
      <c r="T57" s="24"/>
      <c r="U57" s="24"/>
      <c r="V57" s="24"/>
      <c r="W57" s="24"/>
      <c r="X57" s="2027" t="str">
        <f>IF(ISNUMBER(Q57),"Höhenlage -&gt; max. Erträge nach Wegleitung Tab. 3","")</f>
        <v/>
      </c>
      <c r="Y57" s="2027"/>
      <c r="Z57" s="2442"/>
      <c r="AA57" s="1316" t="s">
        <v>109</v>
      </c>
      <c r="AH57" s="318"/>
      <c r="AI57" s="318"/>
      <c r="AJ57" s="318"/>
      <c r="AK57" s="318"/>
      <c r="AM57" s="318"/>
      <c r="AN57" s="336"/>
      <c r="AO57" s="306"/>
      <c r="AP57" s="2449"/>
      <c r="AQ57" s="306"/>
      <c r="AR57" s="318"/>
      <c r="AS57" s="318"/>
      <c r="AU57" s="318"/>
      <c r="AV57" s="318"/>
      <c r="AW57" s="318"/>
      <c r="AX57" s="428"/>
      <c r="AY57" s="1453" t="s">
        <v>1430</v>
      </c>
      <c r="BK57" s="1450"/>
      <c r="BL57" s="1397" t="s">
        <v>346</v>
      </c>
      <c r="BM57" s="1218"/>
      <c r="BN57" s="1398">
        <v>2</v>
      </c>
      <c r="BO57" s="1399">
        <f>SUMIF(BN46:BN54,BN57,F46:F54)</f>
        <v>0</v>
      </c>
      <c r="BP57" s="1400">
        <f>SUMIF(BN46:BN54,BN57,G46:G54)</f>
        <v>0</v>
      </c>
      <c r="BQ57" s="1123"/>
      <c r="BR57" s="1109"/>
      <c r="BS57" s="428"/>
      <c r="BT57" s="428"/>
      <c r="BU57" s="428"/>
      <c r="BW57" s="1457" t="s">
        <v>156</v>
      </c>
      <c r="BX57" s="1109"/>
      <c r="BY57" s="1109"/>
      <c r="BZ57" s="1109"/>
      <c r="CA57" s="1109" t="s">
        <v>2090</v>
      </c>
      <c r="CB57" s="1109"/>
      <c r="CC57" s="1109"/>
      <c r="CD57" s="1109"/>
      <c r="CE57" s="1109"/>
      <c r="CF57" s="1109"/>
      <c r="CG57" s="1109"/>
      <c r="CH57" s="1456"/>
    </row>
    <row r="58" spans="1:86" s="311" customFormat="1" ht="12" customHeight="1">
      <c r="A58" s="3389" t="s">
        <v>218</v>
      </c>
      <c r="B58" s="3075"/>
      <c r="C58" s="3075"/>
      <c r="D58" s="3075"/>
      <c r="E58" s="3075"/>
      <c r="F58" s="3075"/>
      <c r="G58" s="3125" t="str">
        <f>CHAR(248) &amp; " TS -"</f>
        <v>ø TS -</v>
      </c>
      <c r="H58" s="118" t="s">
        <v>219</v>
      </c>
      <c r="I58" s="3075"/>
      <c r="J58" s="3075"/>
      <c r="K58" s="3075"/>
      <c r="L58" s="3075"/>
      <c r="M58" s="3075"/>
      <c r="N58" s="3075"/>
      <c r="O58" s="3075"/>
      <c r="P58" s="3075"/>
      <c r="Q58" s="3075"/>
      <c r="R58" s="3034"/>
      <c r="S58" s="3375"/>
      <c r="T58" s="107"/>
      <c r="U58" s="107"/>
      <c r="V58" s="107"/>
      <c r="W58" s="107"/>
      <c r="X58" s="108"/>
      <c r="Y58" s="108"/>
      <c r="Z58" s="2443"/>
      <c r="AA58" s="1315" t="s">
        <v>486</v>
      </c>
      <c r="AH58" s="318"/>
      <c r="AI58" s="318"/>
      <c r="AJ58" s="318"/>
      <c r="AK58" s="318"/>
      <c r="AM58" s="318"/>
      <c r="AN58" s="336"/>
      <c r="AO58" s="306"/>
      <c r="AP58" s="2449"/>
      <c r="AQ58" s="318"/>
      <c r="AR58" s="318"/>
      <c r="AS58" s="318"/>
      <c r="AY58" s="1453" t="s">
        <v>1430</v>
      </c>
      <c r="AZ58" s="315"/>
      <c r="BA58" s="2485" t="s">
        <v>1700</v>
      </c>
      <c r="BB58" s="315"/>
      <c r="BC58" s="607" t="s">
        <v>1696</v>
      </c>
      <c r="BD58" s="1109" t="s">
        <v>1695</v>
      </c>
      <c r="BE58" s="2490"/>
      <c r="BF58" s="2491" t="s">
        <v>1701</v>
      </c>
      <c r="BG58" s="315"/>
      <c r="BH58" s="315"/>
      <c r="BI58" s="315"/>
      <c r="BJ58" s="315"/>
      <c r="BK58" s="1450"/>
      <c r="BL58" s="1397" t="s">
        <v>347</v>
      </c>
      <c r="BM58" s="1218"/>
      <c r="BN58" s="1398">
        <v>3</v>
      </c>
      <c r="BO58" s="1399">
        <f>SUMIF(BN46:BN54,BN58,F46:F54)</f>
        <v>0</v>
      </c>
      <c r="BP58" s="1400">
        <f>SUMIF(BN46:BN54,BN58,G46:G54)</f>
        <v>0</v>
      </c>
      <c r="BQ58" s="1123"/>
      <c r="BR58" s="1109"/>
      <c r="BS58" s="428"/>
      <c r="BT58" s="428"/>
      <c r="BU58" s="428"/>
      <c r="BW58" s="1457" t="s">
        <v>156</v>
      </c>
      <c r="BX58" s="1109"/>
      <c r="BY58" s="1109"/>
      <c r="BZ58" s="1109"/>
      <c r="CA58" s="3024"/>
      <c r="CB58" s="3024"/>
      <c r="CC58" s="3024"/>
      <c r="CD58" s="3024"/>
      <c r="CE58" s="3024"/>
      <c r="CF58" s="1109"/>
      <c r="CG58" s="1109"/>
      <c r="CH58" s="1477" t="s">
        <v>1424</v>
      </c>
    </row>
    <row r="59" spans="1:86" s="311" customFormat="1" ht="12" customHeight="1">
      <c r="A59" s="3389" t="s">
        <v>221</v>
      </c>
      <c r="B59" s="97" t="s">
        <v>2097</v>
      </c>
      <c r="C59" s="3156"/>
      <c r="D59" s="3156"/>
      <c r="E59" s="112"/>
      <c r="F59" s="3125" t="s">
        <v>49</v>
      </c>
      <c r="G59" s="19" t="s">
        <v>223</v>
      </c>
      <c r="H59" s="119" t="s">
        <v>59</v>
      </c>
      <c r="I59" s="120" t="s">
        <v>224</v>
      </c>
      <c r="J59" s="3156"/>
      <c r="K59" s="3156"/>
      <c r="L59" s="112"/>
      <c r="M59" s="97" t="s">
        <v>225</v>
      </c>
      <c r="N59" s="3156"/>
      <c r="O59" s="3156"/>
      <c r="P59" s="112"/>
      <c r="Q59" s="3075"/>
      <c r="R59" s="655" t="s">
        <v>61</v>
      </c>
      <c r="S59" s="3139"/>
      <c r="X59" s="108"/>
      <c r="Y59" s="108"/>
      <c r="Z59" s="2443"/>
      <c r="AA59" s="1315" t="s">
        <v>533</v>
      </c>
      <c r="AM59" s="306"/>
      <c r="AN59" s="336"/>
      <c r="AO59" s="318"/>
      <c r="AP59" s="2446"/>
      <c r="AQ59" s="318"/>
      <c r="AY59" s="1453" t="s">
        <v>1430</v>
      </c>
      <c r="AZ59" s="311">
        <v>1</v>
      </c>
      <c r="BA59" s="311" t="s">
        <v>1692</v>
      </c>
      <c r="BC59" s="428">
        <f>IF(AND(ISNUMBER(H76),H76&gt;0),1,0)</f>
        <v>0</v>
      </c>
      <c r="BD59" s="1728" t="str">
        <f>IF(BC59=1,H77/F76,"")</f>
        <v/>
      </c>
      <c r="BE59" s="2492" t="e">
        <f>ABS(BD59)</f>
        <v>#VALUE!</v>
      </c>
      <c r="BF59" s="2491" t="e">
        <f>_xlfn.RANK.EQ(BE59,BE$59:BE$61,1)</f>
        <v>#VALUE!</v>
      </c>
      <c r="BG59" s="428" t="e">
        <f>IF(AND(OR(BG46=1,BG47=1),AND(BC59=1,ISNUMBER(BD59),ABS(BD59)&lt;5,BF59=1,SUM(BG35:BG45)=0)),1,0)</f>
        <v>#VALUE!</v>
      </c>
      <c r="BH59" s="2485" t="e">
        <f>IF(BG59=1," z.B. Ertrag mittelintensive W. um "&amp;ROUND(BD59,1)&amp;" dt/ha ändern   ","")</f>
        <v>#VALUE!</v>
      </c>
      <c r="BJ59" s="1436"/>
      <c r="BK59" s="1450"/>
      <c r="BL59" s="1401" t="s">
        <v>326</v>
      </c>
      <c r="BM59" s="1402"/>
      <c r="BN59" s="1413" t="s">
        <v>348</v>
      </c>
      <c r="BO59" s="1403">
        <f>SUM(BO56:BO58)</f>
        <v>0</v>
      </c>
      <c r="BP59" s="1404">
        <f>SUM(BP56:BP58)</f>
        <v>0</v>
      </c>
      <c r="BQ59" s="1123"/>
      <c r="BR59" s="1109"/>
      <c r="BS59" s="428"/>
      <c r="BT59" s="428"/>
      <c r="BU59" s="428"/>
      <c r="BW59" s="1457" t="s">
        <v>156</v>
      </c>
      <c r="BX59" s="1109"/>
      <c r="BY59" s="1109"/>
      <c r="BZ59" s="1109"/>
      <c r="CA59" s="1109" t="s">
        <v>48</v>
      </c>
      <c r="CB59" s="607" t="s">
        <v>574</v>
      </c>
      <c r="CC59" s="607" t="s">
        <v>2092</v>
      </c>
      <c r="CD59" s="607" t="s">
        <v>178</v>
      </c>
      <c r="CE59" s="3019" t="s">
        <v>575</v>
      </c>
      <c r="CF59" s="1109"/>
      <c r="CG59" s="1109"/>
      <c r="CH59" s="1456"/>
    </row>
    <row r="60" spans="1:86" s="311" customFormat="1" ht="12" customHeight="1">
      <c r="A60" s="3126" t="s">
        <v>226</v>
      </c>
      <c r="B60" s="121"/>
      <c r="C60" s="3199"/>
      <c r="D60" s="3199"/>
      <c r="E60" s="3200"/>
      <c r="F60" s="17" t="s">
        <v>57</v>
      </c>
      <c r="G60" s="17" t="s">
        <v>227</v>
      </c>
      <c r="H60" s="17" t="s">
        <v>584</v>
      </c>
      <c r="I60" s="91" t="s">
        <v>61</v>
      </c>
      <c r="J60" s="2763" t="s">
        <v>585</v>
      </c>
      <c r="K60" s="2763" t="s">
        <v>123</v>
      </c>
      <c r="L60" s="3025" t="s">
        <v>64</v>
      </c>
      <c r="M60" s="91" t="s">
        <v>61</v>
      </c>
      <c r="N60" s="2763" t="s">
        <v>585</v>
      </c>
      <c r="O60" s="2763" t="s">
        <v>123</v>
      </c>
      <c r="P60" s="3025" t="s">
        <v>64</v>
      </c>
      <c r="Q60" s="3214"/>
      <c r="R60" s="656" t="s">
        <v>736</v>
      </c>
      <c r="S60" s="3375"/>
      <c r="T60" s="107"/>
      <c r="U60" s="107"/>
      <c r="V60" s="107"/>
      <c r="W60" s="107"/>
      <c r="X60" s="108"/>
      <c r="Y60" s="108"/>
      <c r="Z60" s="2443"/>
      <c r="AA60" s="319" t="s">
        <v>217</v>
      </c>
      <c r="AJ60" s="1315" t="s">
        <v>1470</v>
      </c>
      <c r="AM60" s="308"/>
      <c r="AP60" s="2447"/>
      <c r="AY60" s="1453" t="s">
        <v>1430</v>
      </c>
      <c r="AZ60" s="311">
        <v>2</v>
      </c>
      <c r="BA60" s="311" t="s">
        <v>1693</v>
      </c>
      <c r="BC60" s="428">
        <f>IF(AND(ISNUMBER(H75),H75&gt;0),1,0)</f>
        <v>0</v>
      </c>
      <c r="BD60" s="1728" t="str">
        <f>IF(BC60=1,H77/F75,"")</f>
        <v/>
      </c>
      <c r="BE60" s="2492" t="e">
        <f>ABS(BD60)</f>
        <v>#VALUE!</v>
      </c>
      <c r="BF60" s="2491" t="e">
        <f>_xlfn.RANK.EQ(BE60,BE$59:BE$61,1)</f>
        <v>#VALUE!</v>
      </c>
      <c r="BG60" s="428" t="e">
        <f>IF(AND(OR(BG46=1,BG47=1),AND(BC60=1,ISNUMBER(BD60),ABS(BD60)&lt;5,BF60=1,SUM(BG35:BG45)=0)),1,0)</f>
        <v>#VALUE!</v>
      </c>
      <c r="BH60" s="2485" t="e">
        <f>IF(BG60=1," z.B. Ertrag wenig intensive W. um "&amp;ROUND(BD60,1)&amp;" dt/ha ändern   ","")</f>
        <v>#VALUE!</v>
      </c>
      <c r="BJ60" s="1436"/>
      <c r="BK60" s="1450"/>
      <c r="BL60" s="1397" t="s">
        <v>341</v>
      </c>
      <c r="BM60" s="1218"/>
      <c r="BN60" s="1398">
        <v>4</v>
      </c>
      <c r="BO60" s="1417"/>
      <c r="BP60" s="1400">
        <f>SUMIF(BN46:BN54,BN60,G46:G54)</f>
        <v>0</v>
      </c>
      <c r="BQ60" s="1123"/>
      <c r="BR60" s="1109"/>
      <c r="BS60" s="428"/>
      <c r="BT60" s="428"/>
      <c r="BU60" s="428"/>
      <c r="BW60" s="1457" t="s">
        <v>156</v>
      </c>
      <c r="BX60" s="1109"/>
      <c r="BY60" s="1109"/>
      <c r="BZ60" s="1109"/>
      <c r="CA60" s="1423"/>
      <c r="CB60" s="3020" t="s">
        <v>223</v>
      </c>
      <c r="CC60" s="3020" t="s">
        <v>736</v>
      </c>
      <c r="CD60" s="3020" t="s">
        <v>736</v>
      </c>
      <c r="CE60" s="3021" t="s">
        <v>576</v>
      </c>
      <c r="CF60" s="1109"/>
      <c r="CG60" s="1109"/>
      <c r="CH60" s="1456"/>
    </row>
    <row r="61" spans="1:86" s="311" customFormat="1" ht="12" customHeight="1">
      <c r="A61" s="3158" t="str">
        <f>VLOOKUP(B61,Kulturen_GF,9,FALSE)</f>
        <v>170-230</v>
      </c>
      <c r="B61" s="3520" t="s">
        <v>1826</v>
      </c>
      <c r="C61" s="3521"/>
      <c r="D61" s="3521"/>
      <c r="E61" s="3522"/>
      <c r="F61" s="2202"/>
      <c r="G61" s="2203"/>
      <c r="H61" s="2204">
        <f>IF(AND(F61&gt;0,G61&lt;80),"Ertrag?",G61*F61)</f>
        <v>0</v>
      </c>
      <c r="I61" s="604">
        <f>SUM(CC61:CD61)</f>
        <v>0</v>
      </c>
      <c r="J61" s="3214" t="str">
        <f>IF(ISNUMBER($F61),  IF(VLOOKUP($B61,Kulturen_GF,3,FALSE)=0,"",VLOOKUP($B61,Kulturen_GF,5,FALSE)),"")</f>
        <v/>
      </c>
      <c r="K61" s="3214" t="str">
        <f>IF(ISNUMBER($F61),  IF(VLOOKUP($B61,Kulturen_GF,3,FALSE)=0,"",VLOOKUP($B61,Kulturen_GF,6,FALSE)),"")</f>
        <v/>
      </c>
      <c r="L61" s="3215" t="str">
        <f>IF(ISNUMBER($F61),  IF(VLOOKUP($B61,Kulturen_GF,3,FALSE)=0,"",VLOOKUP($B61,Kulturen_GF,7,FALSE)),"")</f>
        <v/>
      </c>
      <c r="M61" s="3216" t="str">
        <f t="shared" ref="M61:M66" si="12">IF(H61&gt;0,F61*I61,"")</f>
        <v/>
      </c>
      <c r="N61" s="3163" t="str">
        <f>IF(ISNUMBER($F61),  IF(VLOOKUP($B61,Kulturen_GF,3,FALSE)=0,VLOOKUP($B61,Kulturen_GF,5,FALSE)*$F61,VLOOKUP($B61,Kulturen_GF,5,FALSE)*$H61),"")</f>
        <v/>
      </c>
      <c r="O61" s="3163" t="str">
        <f>IF(ISNUMBER($F61),  IF(VLOOKUP($B61,Kulturen_GF,3,FALSE)=0,VLOOKUP($B61,Kulturen_GF,6,FALSE)*$F61,VLOOKUP($B61,Kulturen_GF,6,FALSE)*$H61),"")</f>
        <v/>
      </c>
      <c r="P61" s="3162" t="str">
        <f>IF(ISNUMBER($F61),  IF(VLOOKUP($B61,Kulturen_GF,3,FALSE)=0,VLOOKUP($B61,Kulturen_GF,7,FALSE)*$F61,VLOOKUP($B61,Kulturen_GF,7,FALSE)*$H61),"")</f>
        <v/>
      </c>
      <c r="Q61" s="2929"/>
      <c r="R61" s="3390" t="str">
        <f>IF(ISNUMBER($F61), IF(ISNUMBER(CC61),   CC61&amp; IF(OR(CD61=0,ABS(CD61)&lt;0.5),"",( IF(CD61&lt;0,"","+")&amp;FIXED(CD61,0))),  ""), "")</f>
        <v/>
      </c>
      <c r="S61" s="3391" t="str">
        <f>IF(AND(ISNUMBER(G61),G61&lt;80),"Ertrag zu tief (unter 80 ?)",IF(LEFT(B61,8)&lt;&gt;"Silomais","", IF(F$77=0,"",IF(AND(ISNUMBER(G61),G61&lt;1.25*G$77)," SM-Ertrag im Vergleich zu int. Wiesen zu tief, mind. 125% des Ertrags der intensiven Wiesen einsetzen",""))))</f>
        <v/>
      </c>
      <c r="T61" s="9"/>
      <c r="U61" s="9"/>
      <c r="V61" s="9"/>
      <c r="W61" s="9"/>
      <c r="X61" s="9"/>
      <c r="Y61" s="9"/>
      <c r="Z61" s="2440"/>
      <c r="AA61" s="326" t="s">
        <v>220</v>
      </c>
      <c r="AJ61" s="2025" t="s">
        <v>1471</v>
      </c>
      <c r="AM61" s="308"/>
      <c r="AN61" s="319"/>
      <c r="AP61" s="2447"/>
      <c r="AY61" s="1453" t="s">
        <v>1430</v>
      </c>
      <c r="AZ61" s="311">
        <v>3</v>
      </c>
      <c r="BA61" s="311" t="s">
        <v>1694</v>
      </c>
      <c r="BC61" s="428">
        <f>IF(AND(ISNUMBER(H72),H72&gt;0),1,0)</f>
        <v>0</v>
      </c>
      <c r="BD61" s="1728" t="str">
        <f>IF(BC61=1,H77/F72,"")</f>
        <v/>
      </c>
      <c r="BE61" s="2492" t="e">
        <f>ABS(BD61)</f>
        <v>#VALUE!</v>
      </c>
      <c r="BF61" s="2491" t="e">
        <f>_xlfn.RANK.EQ(BE61,BE$59:BE$61,1)</f>
        <v>#VALUE!</v>
      </c>
      <c r="BG61" s="428" t="e">
        <f>IF(AND(OR(BG46=1,BG47=1),AND(BC61=1,ISNUMBER(BD61),ABS(BD61)&lt;5,BF61=1,SUM(BG35:BG45)=0)),1,0)</f>
        <v>#VALUE!</v>
      </c>
      <c r="BH61" s="2485" t="e">
        <f>IF(BG61=1," z.B. Ertrag extensive W. um "&amp;ROUND(BD61,1)&amp;" dt/ha ändern   ","")</f>
        <v>#VALUE!</v>
      </c>
      <c r="BJ61" s="1436"/>
      <c r="BK61" s="1450"/>
      <c r="BL61" s="1409" t="s">
        <v>342</v>
      </c>
      <c r="BM61" s="1338"/>
      <c r="BN61" s="1410">
        <v>5</v>
      </c>
      <c r="BO61" s="1411">
        <f>SUMIF(BN46:BN54,BN61,F46:F54)</f>
        <v>0</v>
      </c>
      <c r="BP61" s="1412">
        <f>SUMIF(BN46:BN54,BN61,G46:G54)</f>
        <v>0</v>
      </c>
      <c r="BQ61" s="1123"/>
      <c r="BR61" s="1109"/>
      <c r="BS61" s="428"/>
      <c r="BT61" s="428"/>
      <c r="BU61" s="428"/>
      <c r="BW61" s="1457" t="s">
        <v>156</v>
      </c>
      <c r="BX61" s="1109"/>
      <c r="BY61" s="1109"/>
      <c r="BZ61" s="1109"/>
      <c r="CA61" s="708" t="str">
        <f>B61</f>
        <v>Silomais, Ganzpflanzen-Sorghum</v>
      </c>
      <c r="CB61" s="464">
        <f>VLOOKUP($CA61,Kulturen_GF,3,FALSE)</f>
        <v>185</v>
      </c>
      <c r="CC61" s="428">
        <f>IF(AND(H61&lt;1,ISNUMBER(H61)),0,VLOOKUP($CA61,Kulturen_GF,4,FALSE))</f>
        <v>0</v>
      </c>
      <c r="CD61" s="3068" t="str">
        <f>IF(OR(H61=0,CE61=0),"",IF(VLOOKUP(CA61,Kulturen_GF,10,FALSE)&lt;&gt;0,IF(G61&gt;VLOOKUP(CA61,Kulturen_GF,11,FALSE),VLOOKUP(CA61,Kulturen_GF,12,FALSE),(G61-CB61)*VLOOKUP(CA61,Kulturen_GF,10,FALSE)),IF(G61*1&lt;=0.8*CB61,(G61/CB61-1)*CC61,0)))</f>
        <v/>
      </c>
      <c r="CE61" s="3026">
        <f>G61</f>
        <v>0</v>
      </c>
      <c r="CF61" s="1109"/>
      <c r="CG61" s="1109"/>
      <c r="CH61" s="1477" t="s">
        <v>1424</v>
      </c>
    </row>
    <row r="62" spans="1:86" s="311" customFormat="1" ht="12.75" customHeight="1">
      <c r="A62" s="17" t="str">
        <f>VLOOKUP(B62,Kulturen_GF,9,FALSE)</f>
        <v>170-230</v>
      </c>
      <c r="B62" s="3523" t="s">
        <v>205</v>
      </c>
      <c r="C62" s="3524"/>
      <c r="D62" s="3524"/>
      <c r="E62" s="3525"/>
      <c r="F62" s="2202"/>
      <c r="G62" s="2203"/>
      <c r="H62" s="2204">
        <f>IF(AND(F62&gt;0,G62&lt;80),"Ertrag?",G62*F62)</f>
        <v>0</v>
      </c>
      <c r="I62" s="605">
        <f>SUM(CC62:CD62)</f>
        <v>0</v>
      </c>
      <c r="J62" s="3214" t="str">
        <f>IF(ISNUMBER($F62),  IF(VLOOKUP($B62,Kulturen_GF,3,FALSE)=0,"",VLOOKUP($B62,Kulturen_GF,5,FALSE)),"")</f>
        <v/>
      </c>
      <c r="K62" s="3214" t="str">
        <f>IF(ISNUMBER($F62),  IF(VLOOKUP($B62,Kulturen_GF,3,FALSE)=0,"",VLOOKUP($B62,Kulturen_GF,6,FALSE)),"")</f>
        <v/>
      </c>
      <c r="L62" s="3215" t="str">
        <f>IF(ISNUMBER($F62),  IF(VLOOKUP($B62,Kulturen_GF,3,FALSE)=0,"",VLOOKUP($B62,Kulturen_GF,7,FALSE)),"")</f>
        <v/>
      </c>
      <c r="M62" s="3216" t="str">
        <f t="shared" si="12"/>
        <v/>
      </c>
      <c r="N62" s="3163" t="str">
        <f>IF(ISNUMBER($F62),  IF(VLOOKUP($B62,Kulturen_GF,3,FALSE)=0,VLOOKUP($B62,Kulturen_GF,5,FALSE)*$F62,VLOOKUP($B62,Kulturen_GF,5,FALSE)*$H62),"")</f>
        <v/>
      </c>
      <c r="O62" s="3163" t="str">
        <f>IF(ISNUMBER($F62),  IF(VLOOKUP($B62,Kulturen_GF,3,FALSE)=0,VLOOKUP($B62,Kulturen_GF,6,FALSE)*$F62,VLOOKUP($B62,Kulturen_GF,6,FALSE)*$H62),"")</f>
        <v/>
      </c>
      <c r="P62" s="3162" t="str">
        <f>IF(ISNUMBER($F62),  IF(VLOOKUP($B62,Kulturen_GF,3,FALSE)=0,VLOOKUP($B62,Kulturen_GF,7,FALSE)*$F62,VLOOKUP($B62,Kulturen_GF,7,FALSE)*$H62),"")</f>
        <v/>
      </c>
      <c r="Q62" s="2970"/>
      <c r="R62" s="3390" t="str">
        <f>IF(ISNUMBER($F62), IF(ISNUMBER(CC62),   CC62&amp; IF(CD62=0,"",( IF(CD62&lt;0,"","+")&amp;FIXED(CD62,0))),  ""), "")</f>
        <v/>
      </c>
      <c r="S62" s="3391" t="str">
        <f>IF(AND(ISNUMBER(G62),G62&lt;80),"Ertrag zu tief (unter 80 ?)",IF(LEFT(B62,8)&lt;&gt;"Silomais","", IF(F$77=0,"",IF(AND(ISNUMBER(G62),G62&lt;1.25*G$77)," SM-Ertrag im Vergleich zu int. Wiesen zu tief, mind. 125% des Ertrags der intensiven Wiesen einsetzen",""))))</f>
        <v/>
      </c>
      <c r="T62" s="107"/>
      <c r="U62" s="107"/>
      <c r="V62" s="107"/>
      <c r="W62" s="107"/>
      <c r="X62" s="9"/>
      <c r="Y62" s="9"/>
      <c r="Z62" s="2440"/>
      <c r="AA62" s="1307" t="s">
        <v>1362</v>
      </c>
      <c r="AB62" s="338"/>
      <c r="AJ62" s="2026" t="s">
        <v>1474</v>
      </c>
      <c r="AM62" s="306"/>
      <c r="AN62" s="306"/>
      <c r="AO62" s="306"/>
      <c r="AP62" s="2449"/>
      <c r="AY62" s="1453" t="s">
        <v>1430</v>
      </c>
      <c r="AZ62" s="311">
        <v>4</v>
      </c>
      <c r="BA62" s="350" t="s">
        <v>1253</v>
      </c>
      <c r="BG62" s="428">
        <v>1</v>
      </c>
      <c r="BH62" s="2485" t="str">
        <f>IF(BG62=1,"","")</f>
        <v/>
      </c>
      <c r="BJ62" s="1436"/>
      <c r="BK62" s="1450"/>
      <c r="BL62" s="1405" t="s">
        <v>327</v>
      </c>
      <c r="BM62" s="1406"/>
      <c r="BN62" s="1414" t="s">
        <v>349</v>
      </c>
      <c r="BO62" s="1407">
        <f>SUM(BO60:BO61)</f>
        <v>0</v>
      </c>
      <c r="BP62" s="1408">
        <f>SUM(BP60:BP61)</f>
        <v>0</v>
      </c>
      <c r="BQ62" s="1123"/>
      <c r="BR62" s="1109"/>
      <c r="BS62" s="428"/>
      <c r="BT62" s="428"/>
      <c r="BU62" s="428"/>
      <c r="BW62" s="1457" t="s">
        <v>156</v>
      </c>
      <c r="BX62" s="1109"/>
      <c r="BY62" s="1109"/>
      <c r="BZ62" s="1109"/>
      <c r="CA62" s="708" t="str">
        <f>B62</f>
        <v>Futterrüben</v>
      </c>
      <c r="CB62" s="464">
        <f>VLOOKUP($CA62,Kulturen_GF,3,FALSE)</f>
        <v>175</v>
      </c>
      <c r="CC62" s="428">
        <f>IF(AND(H62&lt;1,ISNUMBER(H62)),0,VLOOKUP($CA62,Kulturen_GF,4,FALSE))</f>
        <v>0</v>
      </c>
      <c r="CD62" s="3068" t="str">
        <f>IF(OR(H62=0,CE62=0),"",IF(VLOOKUP(CA62,Kulturen_GF,10,FALSE)&lt;&gt;0,IF(G62&gt;VLOOKUP(CA62,Kulturen_GF,11,FALSE),VLOOKUP(CA62,Kulturen_GF,12,FALSE),(G62-CB62)*VLOOKUP(CA62,Kulturen_GF,10,FALSE)),IF(G62*1&lt;=0.8*CB62,(G62/CB62-1)*CC62,0)))</f>
        <v/>
      </c>
      <c r="CE62" s="3026">
        <f>G62</f>
        <v>0</v>
      </c>
      <c r="CF62" s="1109"/>
      <c r="CG62" s="1109"/>
      <c r="CH62" s="1456"/>
    </row>
    <row r="63" spans="1:86" s="311" customFormat="1" ht="12" hidden="1" customHeight="1">
      <c r="A63" s="3392" t="s">
        <v>1545</v>
      </c>
      <c r="B63" s="3152" t="s">
        <v>1543</v>
      </c>
      <c r="C63" s="3075"/>
      <c r="D63" s="3075"/>
      <c r="E63" s="3184"/>
      <c r="F63" s="2202"/>
      <c r="G63" s="2221">
        <v>106</v>
      </c>
      <c r="H63" s="2204">
        <f>IF(AND(F63&gt;0,G63&lt;80),"Ertrag?",G63*F63)</f>
        <v>0</v>
      </c>
      <c r="I63" s="605">
        <v>110</v>
      </c>
      <c r="J63" s="3217">
        <f>63/106</f>
        <v>0.59433962264150941</v>
      </c>
      <c r="K63" s="3217">
        <f>102/106</f>
        <v>0.96226415094339623</v>
      </c>
      <c r="L63" s="3218">
        <f>11/106</f>
        <v>0.10377358490566038</v>
      </c>
      <c r="M63" s="3216" t="str">
        <f t="shared" si="12"/>
        <v/>
      </c>
      <c r="N63" s="3163" t="str">
        <f t="shared" ref="N63:N64" si="13">IF(H63&gt;0,H63*J63,"")</f>
        <v/>
      </c>
      <c r="O63" s="3163" t="str">
        <f t="shared" ref="O63:O64" si="14">IF(H63&gt;0,H63*K63,"")</f>
        <v/>
      </c>
      <c r="P63" s="3162" t="str">
        <f t="shared" ref="P63:P64" si="15">IF(H63&gt;0,H63*L63,"")</f>
        <v/>
      </c>
      <c r="Q63" s="2970"/>
      <c r="R63" s="3075"/>
      <c r="S63" s="3375"/>
      <c r="T63" s="107"/>
      <c r="U63" s="107"/>
      <c r="V63" s="107"/>
      <c r="W63" s="107"/>
      <c r="X63" s="9"/>
      <c r="Y63" s="9"/>
      <c r="Z63" s="2440"/>
      <c r="AA63" s="1307"/>
      <c r="AB63" s="338"/>
      <c r="AJ63" s="2026"/>
      <c r="AM63" s="306"/>
      <c r="AN63" s="306"/>
      <c r="AO63" s="306"/>
      <c r="AP63" s="2449"/>
      <c r="AY63" s="1453"/>
      <c r="AZ63" s="320"/>
      <c r="BA63" s="320"/>
      <c r="BB63" s="320"/>
      <c r="BC63" s="320"/>
      <c r="BD63" s="320"/>
      <c r="BE63" s="320"/>
      <c r="BF63" s="320"/>
      <c r="BG63" s="320"/>
      <c r="BH63" s="320"/>
      <c r="BI63" s="320"/>
      <c r="BJ63" s="320"/>
      <c r="BK63" s="1450"/>
      <c r="BL63" s="1108"/>
      <c r="BM63" s="1108"/>
      <c r="BN63" s="1108"/>
      <c r="BO63" s="1108"/>
      <c r="BP63" s="1108"/>
      <c r="BQ63" s="1123"/>
      <c r="BR63" s="1109"/>
      <c r="BS63" s="428"/>
      <c r="BT63" s="428"/>
      <c r="BU63" s="428"/>
      <c r="BW63" s="1457" t="s">
        <v>156</v>
      </c>
      <c r="BX63" s="1109"/>
      <c r="BY63" s="1109"/>
      <c r="BZ63" s="1109"/>
      <c r="CA63" s="1109"/>
      <c r="CB63" s="1109"/>
      <c r="CC63" s="1109"/>
      <c r="CD63" s="1109"/>
      <c r="CE63" s="1109"/>
      <c r="CF63" s="1109"/>
      <c r="CG63" s="1109"/>
      <c r="CH63" s="1456"/>
    </row>
    <row r="64" spans="1:86" ht="13.5" hidden="1">
      <c r="A64" s="3392" t="s">
        <v>1545</v>
      </c>
      <c r="B64" s="3152" t="s">
        <v>1544</v>
      </c>
      <c r="C64" s="3075"/>
      <c r="D64" s="3075"/>
      <c r="E64" s="3184"/>
      <c r="F64" s="2202"/>
      <c r="G64" s="2221">
        <v>106</v>
      </c>
      <c r="H64" s="2204">
        <f>IF(AND(F64&gt;0,G64&lt;80),"Ertrag?",G64*F64)</f>
        <v>0</v>
      </c>
      <c r="I64" s="605">
        <v>80</v>
      </c>
      <c r="J64" s="3217">
        <f>60/106</f>
        <v>0.56603773584905659</v>
      </c>
      <c r="K64" s="3217">
        <f>120/106</f>
        <v>1.1320754716981132</v>
      </c>
      <c r="L64" s="3218">
        <f>10/106</f>
        <v>9.4339622641509441E-2</v>
      </c>
      <c r="M64" s="3216" t="str">
        <f t="shared" si="12"/>
        <v/>
      </c>
      <c r="N64" s="3163" t="str">
        <f t="shared" si="13"/>
        <v/>
      </c>
      <c r="O64" s="3163" t="str">
        <f t="shared" si="14"/>
        <v/>
      </c>
      <c r="P64" s="3162" t="str">
        <f t="shared" si="15"/>
        <v/>
      </c>
      <c r="Q64" s="3210"/>
      <c r="R64" s="3210"/>
      <c r="S64" s="3219"/>
      <c r="Z64" s="2440"/>
      <c r="AP64" s="2449"/>
      <c r="AY64" s="1453"/>
      <c r="AZ64" s="311"/>
      <c r="BA64" s="311"/>
      <c r="BB64" s="311"/>
      <c r="BC64" s="311"/>
      <c r="BD64" s="311"/>
      <c r="BE64" s="311"/>
      <c r="BF64" s="311"/>
      <c r="BG64" s="311"/>
      <c r="BH64" s="311"/>
      <c r="BI64" s="1437"/>
      <c r="BJ64" s="1727"/>
      <c r="BK64" s="1450"/>
      <c r="BW64" s="1457" t="s">
        <v>156</v>
      </c>
      <c r="CA64" s="1109"/>
      <c r="CB64" s="1109"/>
      <c r="CC64" s="1109"/>
      <c r="CD64" s="1109"/>
      <c r="CE64" s="1109"/>
      <c r="CF64" s="1109"/>
      <c r="CG64" s="1109"/>
      <c r="CH64" s="1456"/>
    </row>
    <row r="65" spans="1:86" s="311" customFormat="1" ht="12" customHeight="1">
      <c r="A65" s="122" t="s">
        <v>602</v>
      </c>
      <c r="B65" s="2704" t="s">
        <v>1827</v>
      </c>
      <c r="C65" s="3220"/>
      <c r="D65" s="3130"/>
      <c r="E65" s="126"/>
      <c r="F65" s="2205"/>
      <c r="G65" s="2203"/>
      <c r="H65" s="2204">
        <f>IF(AND(F65&gt;0,G65&lt;10),"Ertrag?",G65*F65)</f>
        <v>0</v>
      </c>
      <c r="I65" s="605">
        <f>IF(G65&lt;=0.8*60,70*G65/60,70)</f>
        <v>0</v>
      </c>
      <c r="J65" s="3214">
        <v>0.65</v>
      </c>
      <c r="K65" s="3214">
        <v>2.7</v>
      </c>
      <c r="L65" s="3215">
        <v>0.1</v>
      </c>
      <c r="M65" s="3216" t="str">
        <f t="shared" si="12"/>
        <v/>
      </c>
      <c r="N65" s="3163" t="str">
        <f t="shared" ref="N65:N71" si="16">IF(H65&gt;0,H65*J65,"")</f>
        <v/>
      </c>
      <c r="O65" s="3163" t="str">
        <f t="shared" ref="O65:O71" si="17">IF(H65&gt;0,H65*K65,"")</f>
        <v/>
      </c>
      <c r="P65" s="3162" t="str">
        <f t="shared" ref="P65:P71" si="18">IF(H65&gt;0,H65*L65,"")</f>
        <v/>
      </c>
      <c r="Q65" s="2970"/>
      <c r="R65" s="3075"/>
      <c r="S65" s="3184"/>
      <c r="T65" s="9"/>
      <c r="U65" s="9"/>
      <c r="V65" s="9"/>
      <c r="W65" s="9"/>
      <c r="X65" s="9"/>
      <c r="Y65" s="9"/>
      <c r="Z65" s="2440"/>
      <c r="AA65" s="1306" t="s">
        <v>2132</v>
      </c>
      <c r="AB65" s="306"/>
      <c r="AM65" s="306"/>
      <c r="AN65" s="306"/>
      <c r="AO65" s="306"/>
      <c r="AP65" s="2449"/>
      <c r="AY65" s="1453" t="s">
        <v>1430</v>
      </c>
      <c r="BI65" s="1437"/>
      <c r="BJ65" s="1727"/>
      <c r="BK65" s="1450"/>
      <c r="BL65" s="1409" t="s">
        <v>1595</v>
      </c>
      <c r="BM65" s="1338"/>
      <c r="BN65" s="1410">
        <v>6</v>
      </c>
      <c r="BO65" s="1417"/>
      <c r="BP65" s="1412">
        <f>SUMIF(BN46:BN54,BN65,G46:G54)</f>
        <v>0</v>
      </c>
      <c r="BQ65" s="1123"/>
      <c r="BR65" s="1109"/>
      <c r="BS65" s="428"/>
      <c r="BT65" s="428"/>
      <c r="BU65" s="428"/>
      <c r="BW65" s="1457" t="s">
        <v>156</v>
      </c>
      <c r="BX65" s="1109"/>
      <c r="BY65" s="1109"/>
      <c r="BZ65" s="1109"/>
      <c r="CA65" s="1109"/>
      <c r="CB65" s="1109"/>
      <c r="CC65" s="1109"/>
      <c r="CD65" s="1109"/>
      <c r="CE65" s="1109"/>
      <c r="CF65" s="1109"/>
      <c r="CG65" s="1109"/>
      <c r="CH65" s="1456"/>
    </row>
    <row r="66" spans="1:86" s="311" customFormat="1" ht="12" customHeight="1">
      <c r="A66" s="3158">
        <v>25</v>
      </c>
      <c r="B66" s="3221" t="s">
        <v>2130</v>
      </c>
      <c r="C66" s="3078"/>
      <c r="D66" s="3075"/>
      <c r="E66" s="3075"/>
      <c r="F66" s="2205"/>
      <c r="G66" s="2203"/>
      <c r="H66" s="2177">
        <f>IF(AND(F66&gt;0,G66&lt;1),"Ertrag?",G66*F66)</f>
        <v>0</v>
      </c>
      <c r="I66" s="606">
        <f>IF(G66&lt;=0.8*25,30*G66/25,30)</f>
        <v>0</v>
      </c>
      <c r="J66" s="3214">
        <v>0.96</v>
      </c>
      <c r="K66" s="3214">
        <v>2.88</v>
      </c>
      <c r="L66" s="3215">
        <v>0.28999999999999998</v>
      </c>
      <c r="M66" s="3216" t="str">
        <f t="shared" si="12"/>
        <v/>
      </c>
      <c r="N66" s="3163" t="str">
        <f>IF(H66&gt;0,H66*J66,"")</f>
        <v/>
      </c>
      <c r="O66" s="3163" t="str">
        <f>IF(H66&gt;0,H66*K66,"")</f>
        <v/>
      </c>
      <c r="P66" s="3162" t="str">
        <f>IF(H66&gt;0,H66*L66,"")</f>
        <v/>
      </c>
      <c r="Q66" s="2970"/>
      <c r="R66" s="3075"/>
      <c r="S66" s="3184"/>
      <c r="T66" s="9"/>
      <c r="U66" s="9"/>
      <c r="V66" s="9"/>
      <c r="W66" s="9"/>
      <c r="X66" s="9"/>
      <c r="Y66" s="9"/>
      <c r="Z66" s="2440"/>
      <c r="AA66" s="1308" t="s">
        <v>488</v>
      </c>
      <c r="AB66" s="318"/>
      <c r="AM66" s="306"/>
      <c r="AN66" s="306"/>
      <c r="AO66" s="306"/>
      <c r="AP66" s="2449"/>
      <c r="AY66" s="1453" t="s">
        <v>1430</v>
      </c>
      <c r="BK66" s="1450"/>
      <c r="BL66" s="1456" t="s">
        <v>1430</v>
      </c>
      <c r="BM66" s="1456" t="s">
        <v>1430</v>
      </c>
      <c r="BN66" s="1456" t="s">
        <v>1430</v>
      </c>
      <c r="BO66" s="1456" t="s">
        <v>1430</v>
      </c>
      <c r="BP66" s="1456" t="s">
        <v>1430</v>
      </c>
      <c r="BQ66" s="1460" t="s">
        <v>1430</v>
      </c>
      <c r="BR66" s="1456" t="s">
        <v>1430</v>
      </c>
      <c r="BS66" s="1456" t="s">
        <v>1430</v>
      </c>
      <c r="BT66" s="1456" t="s">
        <v>1430</v>
      </c>
      <c r="BU66" s="1456" t="s">
        <v>1430</v>
      </c>
      <c r="BV66" s="1456" t="s">
        <v>1430</v>
      </c>
      <c r="BW66" s="1457" t="s">
        <v>156</v>
      </c>
      <c r="BX66" s="1109"/>
      <c r="BY66" s="1109"/>
      <c r="BZ66" s="1109"/>
      <c r="CA66" s="1109"/>
      <c r="CB66" s="1109"/>
      <c r="CC66" s="1109"/>
      <c r="CD66" s="1109"/>
      <c r="CE66" s="1109"/>
      <c r="CF66" s="1109"/>
      <c r="CG66" s="1109"/>
      <c r="CH66" s="1477" t="s">
        <v>1424</v>
      </c>
    </row>
    <row r="67" spans="1:86" s="311" customFormat="1" ht="12" customHeight="1">
      <c r="A67" s="17" t="s">
        <v>603</v>
      </c>
      <c r="B67" s="3123" t="s">
        <v>2131</v>
      </c>
      <c r="C67" s="3199"/>
      <c r="D67" s="3199"/>
      <c r="E67" s="3199"/>
      <c r="F67" s="2205"/>
      <c r="G67" s="2203"/>
      <c r="H67" s="2177">
        <f>IF(AND(F67&gt;0,G67&lt;1),"Ertrag?",G67*F67)</f>
        <v>0</v>
      </c>
      <c r="I67" s="3158">
        <v>1.2</v>
      </c>
      <c r="J67" s="3214">
        <v>0.82</v>
      </c>
      <c r="K67" s="3214">
        <v>2.7</v>
      </c>
      <c r="L67" s="3215">
        <v>0.25</v>
      </c>
      <c r="M67" s="3216" t="str">
        <f>IF(H67&gt;0,H67*I67,"")</f>
        <v/>
      </c>
      <c r="N67" s="3163" t="str">
        <f t="shared" si="16"/>
        <v/>
      </c>
      <c r="O67" s="3163" t="str">
        <f t="shared" si="17"/>
        <v/>
      </c>
      <c r="P67" s="3162" t="str">
        <f t="shared" si="18"/>
        <v/>
      </c>
      <c r="Q67" s="3222"/>
      <c r="R67" s="3075"/>
      <c r="S67" s="3184"/>
      <c r="T67" s="9"/>
      <c r="U67" s="9"/>
      <c r="V67" s="9"/>
      <c r="W67" s="9"/>
      <c r="X67" s="9"/>
      <c r="Y67" s="9"/>
      <c r="Z67" s="2440"/>
      <c r="AA67" s="339" t="s">
        <v>489</v>
      </c>
      <c r="AB67" s="318"/>
      <c r="AM67" s="306"/>
      <c r="AN67" s="306"/>
      <c r="AO67" s="306"/>
      <c r="AP67" s="2449"/>
      <c r="AY67" s="1453" t="s">
        <v>1430</v>
      </c>
      <c r="BI67" s="1437"/>
      <c r="BJ67" s="1727"/>
      <c r="BK67" s="1450"/>
      <c r="BL67" s="1109"/>
      <c r="BM67" s="1109"/>
      <c r="BN67" s="1109"/>
      <c r="BO67" s="1109"/>
      <c r="BP67" s="1109"/>
      <c r="BQ67" s="1123"/>
      <c r="BR67" s="1109"/>
      <c r="BS67" s="1109"/>
      <c r="BT67" s="1109"/>
      <c r="BU67" s="1109"/>
      <c r="BV67" s="1109"/>
      <c r="BW67" s="1109"/>
      <c r="BX67" s="1109"/>
      <c r="BY67" s="1109"/>
      <c r="BZ67" s="1109"/>
      <c r="CA67" s="1109"/>
      <c r="CB67" s="1109"/>
      <c r="CC67" s="1109"/>
      <c r="CD67" s="1109"/>
      <c r="CE67" s="1109"/>
      <c r="CF67" s="1109"/>
      <c r="CG67" s="1109"/>
      <c r="CH67" s="1456"/>
    </row>
    <row r="68" spans="1:86" s="311" customFormat="1" ht="12" hidden="1" customHeight="1">
      <c r="A68" s="3393" t="s">
        <v>1283</v>
      </c>
      <c r="B68" s="3223" t="s">
        <v>1282</v>
      </c>
      <c r="C68" s="3075"/>
      <c r="D68" s="3075"/>
      <c r="E68" s="3075"/>
      <c r="F68" s="2202"/>
      <c r="G68" s="2203"/>
      <c r="H68" s="2177">
        <f>IF(OR(AND(F68&gt;0,G68&lt;10),G68&gt;120),"Ertrag?",G68*F68)</f>
        <v>0</v>
      </c>
      <c r="I68" s="1202">
        <v>0</v>
      </c>
      <c r="J68" s="3128">
        <v>0.71</v>
      </c>
      <c r="K68" s="3128">
        <v>2.2999999999999998</v>
      </c>
      <c r="L68" s="55">
        <v>0.25</v>
      </c>
      <c r="M68" s="2199" t="str">
        <f>IF(H68&gt;0,H68*I68,"")</f>
        <v/>
      </c>
      <c r="N68" s="3224" t="str">
        <f>IF(H68&gt;0,H68*J68,"")</f>
        <v/>
      </c>
      <c r="O68" s="3224" t="str">
        <f>IF(H68&gt;0,H68*K68,"")</f>
        <v/>
      </c>
      <c r="P68" s="2200" t="str">
        <f>IF(H68&gt;0,H68*L68,"")</f>
        <v/>
      </c>
      <c r="Q68" s="3225" t="str">
        <f>IF(G68&gt;120,"Ertrag zu hoch: max. 120 dt TS/ha","")</f>
        <v/>
      </c>
      <c r="R68" s="3075"/>
      <c r="S68" s="3184"/>
      <c r="T68" s="9"/>
      <c r="U68" s="9"/>
      <c r="V68" s="9"/>
      <c r="W68" s="9"/>
      <c r="X68" s="9"/>
      <c r="Y68" s="9"/>
      <c r="Z68" s="2440"/>
      <c r="AA68" s="1310" t="s">
        <v>54</v>
      </c>
      <c r="AM68" s="306"/>
      <c r="AN68" s="306"/>
      <c r="AO68" s="306"/>
      <c r="AP68" s="2449"/>
      <c r="AY68" s="1453" t="s">
        <v>1430</v>
      </c>
      <c r="BI68" s="1437"/>
      <c r="BJ68" s="1727"/>
      <c r="BK68" s="1450"/>
      <c r="BL68" s="1109"/>
      <c r="BM68" s="1109"/>
      <c r="BN68" s="1109"/>
      <c r="BO68" s="1109"/>
      <c r="BP68" s="1109"/>
      <c r="BQ68" s="1123"/>
      <c r="BR68" s="1109"/>
      <c r="BS68" s="1109"/>
      <c r="BT68" s="1109"/>
      <c r="BU68" s="1109"/>
      <c r="BV68" s="1109"/>
      <c r="BW68" s="1109"/>
      <c r="BX68" s="1109"/>
      <c r="BY68" s="1109"/>
      <c r="BZ68" s="1109"/>
      <c r="CA68" s="1109"/>
      <c r="CB68" s="1109"/>
      <c r="CC68" s="1109"/>
      <c r="CD68" s="1109"/>
      <c r="CE68" s="1109"/>
      <c r="CF68" s="1109"/>
      <c r="CG68" s="1109"/>
      <c r="CH68" s="1456"/>
    </row>
    <row r="69" spans="1:86" s="311" customFormat="1" ht="12" hidden="1" customHeight="1">
      <c r="A69" s="3393" t="s">
        <v>1283</v>
      </c>
      <c r="B69" s="3223" t="s">
        <v>1962</v>
      </c>
      <c r="C69" s="3075"/>
      <c r="D69" s="3075"/>
      <c r="E69" s="3075"/>
      <c r="F69" s="2202"/>
      <c r="G69" s="2203"/>
      <c r="H69" s="2177">
        <f>IF(OR(AND(F69&gt;0,G69&lt;10),G69&gt;180),"Ertrag?",G69*F69)</f>
        <v>0</v>
      </c>
      <c r="I69" s="1201">
        <v>1.7</v>
      </c>
      <c r="J69" s="2763">
        <v>0.71</v>
      </c>
      <c r="K69" s="2763">
        <v>2.2999999999999998</v>
      </c>
      <c r="L69" s="3025">
        <v>0.25</v>
      </c>
      <c r="M69" s="2201" t="str">
        <f>IF(H69&gt;0,H69*I69,"")</f>
        <v/>
      </c>
      <c r="N69" s="3226" t="str">
        <f>IF(H69&gt;0,H69*J69,"")</f>
        <v/>
      </c>
      <c r="O69" s="3226" t="str">
        <f>IF(H69&gt;0,H69*K69,"")</f>
        <v/>
      </c>
      <c r="P69" s="3227" t="str">
        <f>IF(H69&gt;0,H69*L69,"")</f>
        <v/>
      </c>
      <c r="Q69" s="3225" t="str">
        <f>IF(G69&gt;180,"Ertrag zu hoch: max. 180 dt TS/ha","")</f>
        <v/>
      </c>
      <c r="R69" s="3075"/>
      <c r="S69" s="3184"/>
      <c r="T69" s="9"/>
      <c r="U69" s="9"/>
      <c r="V69" s="9"/>
      <c r="W69" s="9"/>
      <c r="X69" s="9"/>
      <c r="Y69" s="9"/>
      <c r="Z69" s="2440"/>
      <c r="AA69" s="1762" t="s">
        <v>518</v>
      </c>
      <c r="AM69" s="306"/>
      <c r="AN69" s="306"/>
      <c r="AO69" s="306"/>
      <c r="AP69" s="2449"/>
      <c r="AY69" s="1453" t="s">
        <v>1430</v>
      </c>
      <c r="BI69" s="1437"/>
      <c r="BJ69" s="1727"/>
      <c r="BK69" s="1450"/>
      <c r="BL69" s="1109"/>
      <c r="BM69" s="1109"/>
      <c r="BN69" s="1109"/>
      <c r="BO69" s="1109"/>
      <c r="BP69" s="1109"/>
      <c r="BQ69" s="1123"/>
      <c r="BR69" s="1109"/>
      <c r="BS69" s="1109"/>
      <c r="BT69" s="1109"/>
      <c r="BU69" s="1109"/>
      <c r="BV69" s="1109"/>
      <c r="BW69" s="1109"/>
      <c r="BX69" s="1109"/>
      <c r="BY69" s="1109"/>
      <c r="BZ69" s="1109"/>
      <c r="CA69" s="1109"/>
      <c r="CB69" s="1109"/>
      <c r="CC69" s="1109"/>
      <c r="CD69" s="1109"/>
      <c r="CE69" s="1109"/>
      <c r="CF69" s="1109"/>
      <c r="CG69" s="1109"/>
      <c r="CH69" s="1456"/>
    </row>
    <row r="70" spans="1:86" s="311" customFormat="1" ht="12" customHeight="1">
      <c r="A70" s="122"/>
      <c r="B70" s="125" t="s">
        <v>1335</v>
      </c>
      <c r="C70" s="3130"/>
      <c r="D70" s="3130"/>
      <c r="E70" s="3130"/>
      <c r="F70" s="3228"/>
      <c r="G70" s="1200" t="s">
        <v>165</v>
      </c>
      <c r="H70" s="2203"/>
      <c r="I70" s="3158">
        <v>0</v>
      </c>
      <c r="J70" s="3214">
        <v>0.22</v>
      </c>
      <c r="K70" s="3214">
        <v>0.92</v>
      </c>
      <c r="L70" s="3215">
        <v>0.13</v>
      </c>
      <c r="M70" s="3216" t="str">
        <f>IF(H70&gt;0,H70*I70,"")</f>
        <v/>
      </c>
      <c r="N70" s="3163" t="str">
        <f t="shared" si="16"/>
        <v/>
      </c>
      <c r="O70" s="3163" t="str">
        <f t="shared" si="17"/>
        <v/>
      </c>
      <c r="P70" s="3162" t="str">
        <f t="shared" si="18"/>
        <v/>
      </c>
      <c r="Q70" s="3501" t="str">
        <f>IF(SUM(Q72:R77)&gt;0,"max. mögl. Ertrag","")</f>
        <v/>
      </c>
      <c r="R70" s="3502"/>
      <c r="S70" s="3394" t="str">
        <f>IF(Q70="",""," gemäss…")</f>
        <v/>
      </c>
      <c r="T70" s="1726"/>
      <c r="U70" s="1726"/>
      <c r="V70" s="1726"/>
      <c r="W70" s="1726"/>
      <c r="X70" s="9"/>
      <c r="Y70" s="9"/>
      <c r="Z70" s="2440"/>
      <c r="AA70" s="1723" t="s">
        <v>487</v>
      </c>
      <c r="AB70" s="319"/>
      <c r="AP70" s="2447"/>
      <c r="AY70" s="1453" t="s">
        <v>1430</v>
      </c>
      <c r="BA70" s="1603" t="s">
        <v>451</v>
      </c>
      <c r="BB70" s="428" t="s">
        <v>458</v>
      </c>
      <c r="BC70" s="1690" t="s">
        <v>476</v>
      </c>
      <c r="BI70" s="1437"/>
      <c r="BJ70" s="1727"/>
      <c r="BK70" s="1450"/>
      <c r="BL70" s="1109"/>
      <c r="BM70" s="1109"/>
      <c r="BN70" s="1109"/>
      <c r="BO70" s="1109"/>
      <c r="BP70" s="1109"/>
      <c r="BQ70" s="1123"/>
      <c r="BR70" s="1109"/>
      <c r="BS70" s="1109"/>
      <c r="BT70" s="1109"/>
      <c r="BU70" s="1109"/>
      <c r="BV70" s="1109"/>
      <c r="BW70" s="1109"/>
      <c r="BX70" s="1109"/>
      <c r="BY70" s="1109"/>
      <c r="BZ70" s="1109"/>
      <c r="CA70" s="1109"/>
      <c r="CB70" s="1109"/>
      <c r="CC70" s="1109"/>
      <c r="CD70" s="1109"/>
      <c r="CE70" s="1109"/>
      <c r="CF70" s="1109"/>
      <c r="CG70" s="1109"/>
      <c r="CH70" s="1456"/>
    </row>
    <row r="71" spans="1:86" s="311" customFormat="1" ht="12" customHeight="1">
      <c r="A71" s="17"/>
      <c r="B71" s="124" t="s">
        <v>604</v>
      </c>
      <c r="C71" s="3199"/>
      <c r="D71" s="3199"/>
      <c r="E71" s="3199"/>
      <c r="F71" s="3229"/>
      <c r="G71" s="3230" t="s">
        <v>165</v>
      </c>
      <c r="H71" s="2203"/>
      <c r="I71" s="91">
        <v>0</v>
      </c>
      <c r="J71" s="2763">
        <v>0.52</v>
      </c>
      <c r="K71" s="3231">
        <v>2.62</v>
      </c>
      <c r="L71" s="3025">
        <v>0.6</v>
      </c>
      <c r="M71" s="3216" t="str">
        <f>IF(H71&gt;0,H71*I71,"")</f>
        <v/>
      </c>
      <c r="N71" s="3163" t="str">
        <f t="shared" si="16"/>
        <v/>
      </c>
      <c r="O71" s="3163" t="str">
        <f t="shared" si="17"/>
        <v/>
      </c>
      <c r="P71" s="3162" t="str">
        <f t="shared" si="18"/>
        <v/>
      </c>
      <c r="Q71" s="3232" t="str">
        <f>IF(SUM(Q72:Q77)&gt;0,"Wegleit.","")</f>
        <v/>
      </c>
      <c r="R71" s="3395" t="str">
        <f>IF(SUM(Q72:R77)&gt;0,"eigener 'Ertragsschätzung'","")</f>
        <v/>
      </c>
      <c r="S71" s="3184"/>
      <c r="T71" s="9"/>
      <c r="U71" s="9"/>
      <c r="V71" s="9"/>
      <c r="W71" s="9"/>
      <c r="X71" s="9"/>
      <c r="Y71" s="9"/>
      <c r="Z71" s="2440"/>
      <c r="AA71" s="1309" t="s">
        <v>605</v>
      </c>
      <c r="AB71" s="318"/>
      <c r="AK71" s="318"/>
      <c r="AP71" s="2447"/>
      <c r="AY71" s="1453" t="s">
        <v>1430</v>
      </c>
      <c r="BA71" s="1605" t="s">
        <v>455</v>
      </c>
      <c r="BB71" s="1109" t="s">
        <v>457</v>
      </c>
      <c r="BC71" s="1690"/>
      <c r="BD71" s="1734" t="s">
        <v>495</v>
      </c>
      <c r="BI71" s="1437"/>
      <c r="BJ71" s="1727"/>
      <c r="BK71" s="1450"/>
      <c r="BL71" s="1109"/>
      <c r="BM71" s="1109"/>
      <c r="BN71" s="1109"/>
      <c r="BO71" s="1109"/>
      <c r="BP71" s="1109"/>
      <c r="BQ71" s="1123"/>
      <c r="BR71" s="1109"/>
      <c r="BS71" s="1109"/>
      <c r="BT71" s="1109"/>
      <c r="BU71" s="1109"/>
      <c r="BV71" s="1109"/>
      <c r="BW71" s="1109"/>
      <c r="BX71" s="1109"/>
      <c r="BY71" s="1109"/>
      <c r="BZ71" s="1109"/>
      <c r="CA71" s="1109"/>
      <c r="CB71" s="1109"/>
      <c r="CC71" s="1109"/>
      <c r="CD71" s="1109"/>
      <c r="CE71" s="1109"/>
      <c r="CF71" s="1109"/>
      <c r="CG71" s="1109"/>
      <c r="CH71" s="1456"/>
    </row>
    <row r="72" spans="1:86" s="311" customFormat="1" ht="12" customHeight="1">
      <c r="A72" s="3158" t="s">
        <v>606</v>
      </c>
      <c r="B72" s="289" t="s">
        <v>1336</v>
      </c>
      <c r="C72" s="3233"/>
      <c r="D72" s="3233"/>
      <c r="E72" s="290"/>
      <c r="F72" s="2205"/>
      <c r="G72" s="2203"/>
      <c r="H72" s="2206">
        <f>IF(OR(AND(F72&gt;0,G72&lt;1),G72&gt;BB72),"Ertrag?",G72*F72)</f>
        <v>0</v>
      </c>
      <c r="I72" s="122">
        <v>0</v>
      </c>
      <c r="J72" s="3128">
        <v>0</v>
      </c>
      <c r="K72" s="3128">
        <v>0</v>
      </c>
      <c r="L72" s="55">
        <v>0</v>
      </c>
      <c r="M72" s="2199" t="str">
        <f>IF(H72="Ertrag?",H72*I72,"")</f>
        <v/>
      </c>
      <c r="N72" s="3224" t="str">
        <f>IF(H72="Ertrag?",H72*J72,"")</f>
        <v/>
      </c>
      <c r="O72" s="3224"/>
      <c r="P72" s="2200"/>
      <c r="Q72" s="3234" t="str">
        <f>IF(OR(ISNUMBER(R72),G72&gt;BA72),BA72,"")</f>
        <v/>
      </c>
      <c r="R72" s="3396"/>
      <c r="S72" s="3397" t="str">
        <f>IF(AND(ISNUMBER(Q57),G72&gt;BB72)," Ertrag zu hoch -&gt; reduzieren bzw. Max. gemäss 'Ertragsschätzung' eingeben", IF(AND(G72&gt;BA72,G72&lt;=BB72)," -&gt; nur mit 'Ertragsschätzung' möglich",""))</f>
        <v/>
      </c>
      <c r="T72" s="1606"/>
      <c r="U72" s="1606"/>
      <c r="V72" s="1606"/>
      <c r="W72" s="1606"/>
      <c r="X72" s="9"/>
      <c r="Y72" s="9"/>
      <c r="Z72" s="2440"/>
      <c r="AA72" s="319" t="s">
        <v>1216</v>
      </c>
      <c r="AB72" s="319"/>
      <c r="AC72" s="318"/>
      <c r="AK72" s="318"/>
      <c r="AP72" s="2447"/>
      <c r="AY72" s="1453" t="s">
        <v>1430</v>
      </c>
      <c r="BA72" s="1604" t="str">
        <f>IF(ISBLANK(Q57),"Höhenangabe Betrieb fehlt",VLOOKUP(Q$57,Wiesen_Ertrag_Max,6,TRUE))</f>
        <v>Höhenangabe Betrieb fehlt</v>
      </c>
      <c r="BB72" s="428">
        <f t="shared" ref="BB72:BB77" si="19">MAX(R72,BA72)</f>
        <v>0</v>
      </c>
      <c r="BC72" s="1690">
        <f>IF(G72&gt;BB72,1,0)</f>
        <v>0</v>
      </c>
      <c r="BD72" s="1735"/>
      <c r="BI72" s="1437"/>
      <c r="BJ72" s="1727"/>
      <c r="BK72" s="1450"/>
      <c r="BL72" s="1109"/>
      <c r="BM72" s="1109"/>
      <c r="BN72" s="1109"/>
      <c r="BO72" s="1109"/>
      <c r="BP72" s="1109"/>
      <c r="BQ72" s="1123"/>
      <c r="BR72" s="1109"/>
      <c r="BS72" s="1109"/>
      <c r="BT72" s="1109"/>
      <c r="BU72" s="1109"/>
      <c r="BV72" s="1109"/>
      <c r="BW72" s="1109"/>
      <c r="BX72" s="1109"/>
      <c r="BY72" s="1109"/>
      <c r="BZ72" s="1109"/>
      <c r="CA72" s="1109"/>
      <c r="CB72" s="1109"/>
      <c r="CC72" s="1109"/>
      <c r="CD72" s="1109"/>
      <c r="CE72" s="1109"/>
      <c r="CF72" s="1109"/>
      <c r="CG72" s="1109"/>
      <c r="CH72" s="1456"/>
    </row>
    <row r="73" spans="1:86" s="311" customFormat="1" ht="12" customHeight="1">
      <c r="A73" s="17" t="s">
        <v>606</v>
      </c>
      <c r="B73" s="507" t="s">
        <v>1337</v>
      </c>
      <c r="C73" s="3199"/>
      <c r="D73" s="3199"/>
      <c r="E73" s="3199"/>
      <c r="F73" s="2205"/>
      <c r="G73" s="2203"/>
      <c r="H73" s="2206">
        <f>IF(OR(AND(F73&gt;0,G73&lt;1),G73&gt;BB73),"Ertrag?",G73*F73)</f>
        <v>0</v>
      </c>
      <c r="I73" s="3158">
        <v>0</v>
      </c>
      <c r="J73" s="3214">
        <v>0</v>
      </c>
      <c r="K73" s="3214">
        <v>0</v>
      </c>
      <c r="L73" s="3215">
        <v>0</v>
      </c>
      <c r="M73" s="3171" t="str">
        <f>IF(H73="Ertrag?",H73*I73,"")</f>
        <v/>
      </c>
      <c r="N73" s="3171" t="str">
        <f>IF(H73="Ertrag?",H73*J73,"")</f>
        <v/>
      </c>
      <c r="O73" s="3171"/>
      <c r="P73" s="3235"/>
      <c r="Q73" s="3234" t="str">
        <f>IF(OR(ISNUMBER(R73),G73&gt;BA73),BA73,"")</f>
        <v/>
      </c>
      <c r="R73" s="3396"/>
      <c r="S73" s="3397" t="str">
        <f>IF(AND(ISNUMBER(Q57),G73&gt;BB73)," Ertrag zu hoch -&gt; reduzieren bzw. Max. gemäss 'Ertragsschätzung' eingeben", IF(AND(G73&gt;BA73,G73&lt;=BB73)," -&gt; nur mit 'Ertragsschätzung' möglich",""))</f>
        <v/>
      </c>
      <c r="T73" s="1606"/>
      <c r="U73" s="1606"/>
      <c r="V73" s="1606"/>
      <c r="W73" s="1606"/>
      <c r="X73" s="9"/>
      <c r="Y73" s="9"/>
      <c r="Z73" s="2440"/>
      <c r="AA73" s="336" t="s">
        <v>609</v>
      </c>
      <c r="AB73" s="336"/>
      <c r="AC73" s="318"/>
      <c r="AD73" s="318"/>
      <c r="AE73" s="318"/>
      <c r="AF73" s="318"/>
      <c r="AG73" s="318"/>
      <c r="AH73" s="318"/>
      <c r="AI73" s="318"/>
      <c r="AJ73" s="318"/>
      <c r="AK73" s="318"/>
      <c r="AP73" s="2447"/>
      <c r="AY73" s="1453" t="s">
        <v>1430</v>
      </c>
      <c r="BA73" s="1604" t="str">
        <f>IF(ISBLANK(Q57),"Höhenangabe Betrieb fehlt",VLOOKUP(Q$57,Wiesen_Ertrag_Max,6,TRUE))</f>
        <v>Höhenangabe Betrieb fehlt</v>
      </c>
      <c r="BB73" s="428">
        <f t="shared" si="19"/>
        <v>0</v>
      </c>
      <c r="BC73" s="1690">
        <f>IF(G73&gt;BB73,1,0)</f>
        <v>0</v>
      </c>
      <c r="BD73" s="1735"/>
      <c r="BI73" s="1437"/>
      <c r="BJ73" s="1727"/>
      <c r="BK73" s="1450"/>
      <c r="BL73" s="1109"/>
      <c r="BM73" s="1109"/>
      <c r="BN73" s="1109"/>
      <c r="BO73" s="1109"/>
      <c r="BP73" s="1109"/>
      <c r="BQ73" s="1123"/>
      <c r="BR73" s="1109"/>
      <c r="BS73" s="1109"/>
      <c r="BT73" s="1109"/>
      <c r="BU73" s="1109"/>
      <c r="BV73" s="1109"/>
      <c r="BW73" s="1109"/>
      <c r="CC73" s="1109"/>
      <c r="CD73" s="1109"/>
      <c r="CE73" s="1109"/>
      <c r="CF73" s="1109"/>
      <c r="CG73" s="1109"/>
      <c r="CH73" s="1456"/>
    </row>
    <row r="74" spans="1:86" s="311" customFormat="1" ht="12" customHeight="1">
      <c r="A74" s="15" t="s">
        <v>610</v>
      </c>
      <c r="B74" s="289" t="s">
        <v>1338</v>
      </c>
      <c r="C74" s="3233"/>
      <c r="D74" s="3233"/>
      <c r="E74" s="290"/>
      <c r="F74" s="2205"/>
      <c r="G74" s="2203"/>
      <c r="H74" s="2206">
        <f>IF(OR(AND(F74&gt;0,G74&lt;1),G74&gt;BB74),"Ertrag?",G74*F74)</f>
        <v>0</v>
      </c>
      <c r="I74" s="3158">
        <v>0.5</v>
      </c>
      <c r="J74" s="3214">
        <v>0.5</v>
      </c>
      <c r="K74" s="3214">
        <v>1.2</v>
      </c>
      <c r="L74" s="3215">
        <v>0.2</v>
      </c>
      <c r="M74" s="3216" t="str">
        <f>IF(H74&gt;0,H74*I74,"")</f>
        <v/>
      </c>
      <c r="N74" s="3163" t="str">
        <f>IF(H74&gt;0,H74*J74,"")</f>
        <v/>
      </c>
      <c r="O74" s="3163" t="str">
        <f>IF(H74&gt;0,H74*K74,"")</f>
        <v/>
      </c>
      <c r="P74" s="3162" t="str">
        <f>IF(H74&gt;0,H74*L74,"")</f>
        <v/>
      </c>
      <c r="Q74" s="3234" t="str">
        <f>IF(OR(ISNUMBER(R74),G74&gt;BA74),BA74,"")</f>
        <v/>
      </c>
      <c r="R74" s="3396"/>
      <c r="S74" s="3397" t="str">
        <f>IF(AND(ISNUMBER(Q57),G74&gt;BB74)," Ertrag zu hoch -&gt; reduzieren bzw. Max. gemäss 'Ertragsschätzung' eingeben", IF(AND(G74&gt;BA74,G74&lt;=BB74)," -&gt; nur mit 'Ertragsschätzung' möglich",""))</f>
        <v/>
      </c>
      <c r="T74" s="1606"/>
      <c r="U74" s="1606"/>
      <c r="V74" s="1606"/>
      <c r="W74" s="1606"/>
      <c r="X74" s="9"/>
      <c r="Y74" s="9"/>
      <c r="Z74" s="2440"/>
      <c r="AA74" s="336" t="s">
        <v>481</v>
      </c>
      <c r="AB74" s="336"/>
      <c r="AC74" s="318"/>
      <c r="AD74" s="318"/>
      <c r="AE74" s="318"/>
      <c r="AF74" s="318"/>
      <c r="AG74" s="318"/>
      <c r="AH74" s="318"/>
      <c r="AI74" s="318"/>
      <c r="AJ74" s="318"/>
      <c r="AK74" s="318"/>
      <c r="AP74" s="2447"/>
      <c r="AY74" s="1453" t="s">
        <v>1430</v>
      </c>
      <c r="BA74" s="1604" t="str">
        <f>IF(ISBLANK(Q57),"Höhenangabe Betrieb fehlt",VLOOKUP(Q$57,Wiesen_Ertrag_Max,7,TRUE))</f>
        <v>Höhenangabe Betrieb fehlt</v>
      </c>
      <c r="BB74" s="428">
        <f t="shared" si="19"/>
        <v>0</v>
      </c>
      <c r="BC74" s="1690">
        <f>IF(G74&gt;BB74,1,0)</f>
        <v>0</v>
      </c>
      <c r="BD74" s="1735"/>
      <c r="BI74" s="1437"/>
      <c r="BJ74" s="1727"/>
      <c r="BK74" s="1450"/>
      <c r="BL74" s="1109"/>
      <c r="BM74" s="1109"/>
      <c r="BN74" s="1109"/>
      <c r="BO74" s="1109"/>
      <c r="BP74" s="1109"/>
      <c r="BQ74" s="1123"/>
      <c r="BR74" s="1109"/>
      <c r="BS74" s="1109"/>
      <c r="BT74" s="1109"/>
      <c r="BU74" s="1109"/>
      <c r="BV74" s="1109"/>
      <c r="BW74" s="1109"/>
      <c r="CC74" s="1109"/>
      <c r="CD74" s="1109"/>
      <c r="CE74" s="1109"/>
      <c r="CF74" s="1109"/>
      <c r="CG74" s="1109"/>
      <c r="CH74" s="1456"/>
    </row>
    <row r="75" spans="1:86" s="311" customFormat="1" ht="12" customHeight="1">
      <c r="A75" s="17" t="s">
        <v>602</v>
      </c>
      <c r="B75" s="291" t="s">
        <v>1467</v>
      </c>
      <c r="C75" s="3233"/>
      <c r="D75" s="3233"/>
      <c r="E75" s="3233"/>
      <c r="F75" s="2202"/>
      <c r="G75" s="2203"/>
      <c r="H75" s="2206">
        <f>IF(OR(AND(F75&gt;0,G75&lt;1),G75&gt;BB75),"Ertrag?",G75*F75)</f>
        <v>0</v>
      </c>
      <c r="I75" s="3158">
        <v>0.5</v>
      </c>
      <c r="J75" s="3214">
        <v>0.56999999999999995</v>
      </c>
      <c r="K75" s="3214">
        <v>1.7</v>
      </c>
      <c r="L75" s="3215">
        <v>0.15</v>
      </c>
      <c r="M75" s="3216" t="str">
        <f>IF(H75&gt;0,H75*I75,"")</f>
        <v/>
      </c>
      <c r="N75" s="3163" t="str">
        <f>IF(H75&gt;0,H75*J75,"")</f>
        <v/>
      </c>
      <c r="O75" s="3163" t="str">
        <f>IF(H75&gt;0,H75*K75,"")</f>
        <v/>
      </c>
      <c r="P75" s="3162" t="str">
        <f>IF(H75&gt;0,H75*L75,"")</f>
        <v/>
      </c>
      <c r="Q75" s="3234" t="str">
        <f>IF(OR(ISNUMBER(R75),G75&gt;BA75),BA75,"")</f>
        <v/>
      </c>
      <c r="R75" s="3396"/>
      <c r="S75" s="3397" t="str">
        <f>IF(AND(ISNUMBER(Q57),G75&gt;BB75)," Ertrag zu hoch -&gt; reduzieren bzw. Max. gemäss 'Ertragseinschätzung' eingeben", IF(AND(G75&gt;BA75,G75&lt;=BB75)," -&gt; nur mit 'Ertragsschätzung' möglich",""))</f>
        <v/>
      </c>
      <c r="T75" s="1606"/>
      <c r="U75" s="1606"/>
      <c r="V75" s="1606"/>
      <c r="W75" s="1606"/>
      <c r="X75" s="9"/>
      <c r="Y75" s="9"/>
      <c r="Z75" s="2440"/>
      <c r="AA75" s="336" t="s">
        <v>638</v>
      </c>
      <c r="AB75" s="336"/>
      <c r="AC75" s="318"/>
      <c r="AD75" s="318"/>
      <c r="AE75" s="318"/>
      <c r="AF75" s="318"/>
      <c r="AG75" s="318"/>
      <c r="AH75" s="318"/>
      <c r="AI75" s="318"/>
      <c r="AJ75" s="318"/>
      <c r="AK75" s="318"/>
      <c r="AP75" s="2447"/>
      <c r="AY75" s="1453" t="s">
        <v>1430</v>
      </c>
      <c r="BA75" s="1604" t="str">
        <f>IF(ISBLANK(Q57),"Höhenangabe Betrieb fehlt",VLOOKUP(Q$57,Wiesen_Ertrag_Max,5,TRUE))</f>
        <v>Höhenangabe Betrieb fehlt</v>
      </c>
      <c r="BB75" s="428">
        <f t="shared" si="19"/>
        <v>0</v>
      </c>
      <c r="BC75" s="1690">
        <f>IF(G75&gt;BB75,1,0)</f>
        <v>0</v>
      </c>
      <c r="BD75" s="1735"/>
      <c r="BI75" s="1437"/>
      <c r="BJ75" s="1727"/>
      <c r="BK75" s="1450"/>
      <c r="BL75" s="1109"/>
      <c r="BM75" s="1109"/>
      <c r="BN75" s="1109"/>
      <c r="BO75" s="1109"/>
      <c r="BP75" s="1109"/>
      <c r="BQ75" s="1123"/>
      <c r="BR75" s="1109"/>
      <c r="BS75" s="1109"/>
      <c r="BT75" s="1109"/>
      <c r="BU75" s="1109"/>
      <c r="BV75" s="1109"/>
      <c r="BW75" s="1109"/>
      <c r="BX75" s="1109"/>
      <c r="BY75" s="1109"/>
      <c r="BZ75" s="1109"/>
      <c r="CA75" s="1109"/>
      <c r="CB75" s="1109"/>
      <c r="CC75" s="1109"/>
      <c r="CD75" s="1109"/>
      <c r="CE75" s="1109"/>
      <c r="CF75" s="1109"/>
      <c r="CG75" s="1109"/>
      <c r="CH75" s="1456"/>
    </row>
    <row r="76" spans="1:86" s="311" customFormat="1" ht="12" customHeight="1">
      <c r="A76" s="15" t="s">
        <v>639</v>
      </c>
      <c r="B76" s="127" t="s">
        <v>640</v>
      </c>
      <c r="C76" s="2812"/>
      <c r="D76" s="2812"/>
      <c r="E76" s="2812"/>
      <c r="F76" s="2202"/>
      <c r="G76" s="2203"/>
      <c r="H76" s="2206">
        <f>IF(OR(AND(F76&gt;0,G76&lt;1),G76&gt;BB76),"Ertrag?",G76*F76)</f>
        <v>0</v>
      </c>
      <c r="I76" s="3158">
        <v>0.95</v>
      </c>
      <c r="J76" s="3214">
        <v>0.71</v>
      </c>
      <c r="K76" s="3214">
        <v>2.2999999999999998</v>
      </c>
      <c r="L76" s="3215">
        <v>0.2</v>
      </c>
      <c r="M76" s="3216" t="str">
        <f>IF(H76&gt;0,H76*I76,"")</f>
        <v/>
      </c>
      <c r="N76" s="3163" t="str">
        <f>IF(H76&gt;0,H76*J76,"")</f>
        <v/>
      </c>
      <c r="O76" s="3163" t="str">
        <f>IF(H76&gt;0,H76*K76,"")</f>
        <v/>
      </c>
      <c r="P76" s="3162" t="str">
        <f>IF(H76&gt;0,H76*L76,"")</f>
        <v/>
      </c>
      <c r="Q76" s="3234" t="str">
        <f>IF(OR(ISNUMBER(R76),G76&gt;BA76),BA76,"")</f>
        <v/>
      </c>
      <c r="R76" s="3396"/>
      <c r="S76" s="3397" t="str">
        <f>IF(AND(ISNUMBER(Q57),G76&gt;BB76)," Ertrag zu hoch -&gt; reduzieren bzw. Max. gemäss 'Ertragsschätzung' eingeben", IF(AND(G76&gt;BA76,G76&lt;=BB76)," -&gt; nur mit 'Ertragsschätzung' möglich",""))</f>
        <v/>
      </c>
      <c r="T76" s="1606"/>
      <c r="U76" s="1606"/>
      <c r="V76" s="1606"/>
      <c r="W76" s="1606"/>
      <c r="X76" s="24"/>
      <c r="Y76" s="24"/>
      <c r="Z76" s="2442"/>
      <c r="AA76" s="336" t="s">
        <v>642</v>
      </c>
      <c r="AB76" s="336"/>
      <c r="AC76" s="318"/>
      <c r="AD76" s="318"/>
      <c r="AE76" s="318"/>
      <c r="AF76" s="318"/>
      <c r="AG76" s="318"/>
      <c r="AH76" s="318"/>
      <c r="AI76" s="318"/>
      <c r="AJ76" s="318"/>
      <c r="AK76" s="318"/>
      <c r="AP76" s="2447"/>
      <c r="AY76" s="1453" t="s">
        <v>1430</v>
      </c>
      <c r="BA76" s="1604" t="str">
        <f>IF(ISBLANK(Q57),"Höhenangabe Betrieb fehlt",VLOOKUP(Q$57,Wiesen_Ertrag_Max,4,TRUE))</f>
        <v>Höhenangabe Betrieb fehlt</v>
      </c>
      <c r="BB76" s="428">
        <f t="shared" si="19"/>
        <v>0</v>
      </c>
      <c r="BC76" s="1690">
        <f>IF(G76&gt;BB76,1,0)</f>
        <v>0</v>
      </c>
      <c r="BD76" s="1735"/>
      <c r="BI76" s="1437"/>
      <c r="BJ76" s="1727"/>
      <c r="BK76" s="1450"/>
      <c r="BM76" s="1109"/>
      <c r="BN76" s="1109"/>
      <c r="BO76" s="1109"/>
      <c r="BP76" s="1109"/>
      <c r="BQ76" s="1123"/>
      <c r="BR76" s="1109"/>
      <c r="BS76" s="1109"/>
      <c r="BT76" s="1109"/>
      <c r="BU76" s="1109"/>
      <c r="BV76" s="1109"/>
      <c r="CB76" s="1109"/>
      <c r="CC76" s="1109"/>
      <c r="CD76" s="1109"/>
      <c r="CE76" s="1109"/>
      <c r="CF76" s="1109"/>
      <c r="CG76" s="1109"/>
      <c r="CH76" s="1456"/>
    </row>
    <row r="77" spans="1:86" s="311" customFormat="1" ht="12" customHeight="1">
      <c r="A77" s="17" t="s">
        <v>643</v>
      </c>
      <c r="B77" s="123" t="s">
        <v>644</v>
      </c>
      <c r="C77" s="3199"/>
      <c r="D77" s="3199"/>
      <c r="E77" s="3199"/>
      <c r="F77" s="2207"/>
      <c r="G77" s="2208" t="str">
        <f>IF(F77&gt;0,H77/F77,IF(AND(ISNUMBER(F77)=TRUE,F77=0),"",IF(H77&gt;0.005*O54,"ha ?","")))</f>
        <v/>
      </c>
      <c r="H77" s="2493">
        <f>H78-SUM(H62:H76)-F61*G61</f>
        <v>0</v>
      </c>
      <c r="I77" s="3158">
        <v>1.2</v>
      </c>
      <c r="J77" s="2763">
        <v>0.82</v>
      </c>
      <c r="K77" s="2763">
        <v>2.7</v>
      </c>
      <c r="L77" s="3025">
        <v>0.25</v>
      </c>
      <c r="M77" s="3216" t="str">
        <f>IF(AND($F77&gt;0,$H77&gt;2),$H77*I77,"")</f>
        <v/>
      </c>
      <c r="N77" s="3163" t="str">
        <f>IF(AND($F77&gt;0,$H77&gt;2),$H77*J77,"")</f>
        <v/>
      </c>
      <c r="O77" s="3163" t="str">
        <f>IF(AND($F77&gt;0,$H77&gt;2),$H77*K77,"")</f>
        <v/>
      </c>
      <c r="P77" s="3162" t="str">
        <f>IF(AND($F77&gt;0,$H77&gt;2),$H77*L77,"")</f>
        <v/>
      </c>
      <c r="Q77" s="3234" t="str">
        <f>IF(OR(ISNUMBER(R77),AND(G77&gt;BA77,F77&gt;0)),BA77,"")</f>
        <v/>
      </c>
      <c r="R77" s="3396"/>
      <c r="S77" s="3397" t="str">
        <f>IF(AND(ISNUMBER(Q57),ISNUMBER(G77),G77&gt;BB77)," Ertrag zu hoch -&gt; siehe Wegleitung (weiter rechts)", IF(AND(G77&gt;BA77,G77&lt;=BB77)," -&gt; nur mit 'Ertragsschätzung' möglich",""))</f>
        <v/>
      </c>
      <c r="T77" s="1606"/>
      <c r="U77" s="1606"/>
      <c r="V77" s="1606"/>
      <c r="W77" s="1606"/>
      <c r="X77" s="24"/>
      <c r="Y77" s="24"/>
      <c r="Z77" s="2442"/>
      <c r="AA77" s="2452"/>
      <c r="AB77" s="2450" t="s">
        <v>1668</v>
      </c>
      <c r="AC77" s="318"/>
      <c r="AD77" s="318"/>
      <c r="AE77" s="318"/>
      <c r="AF77" s="318"/>
      <c r="AG77" s="318"/>
      <c r="AH77" s="318"/>
      <c r="AI77" s="318"/>
      <c r="AJ77" s="318"/>
      <c r="AK77" s="318"/>
      <c r="AP77" s="2447"/>
      <c r="AY77" s="1453" t="s">
        <v>1430</v>
      </c>
      <c r="BA77" s="1604" t="str">
        <f>IF(ISBLANK(Q57),"Höhenangabe Betrieb fehlt",VLOOKUP(Q$57,Wiesen_Ertrag_Max,3,TRUE)+VLOOKUP(Q$57,Wiesen_Ertrag_Max,13,TRUE))</f>
        <v>Höhenangabe Betrieb fehlt</v>
      </c>
      <c r="BB77" s="428">
        <f t="shared" si="19"/>
        <v>0</v>
      </c>
      <c r="BC77" s="1690">
        <f>IF(AND(ISNUMBER(G77),G77&gt;BB77),1,0)</f>
        <v>0</v>
      </c>
      <c r="BD77" s="1735">
        <f>VLOOKUP(Q$57,Wiesen_Ertrag_Max,8,TRUE)</f>
        <v>50</v>
      </c>
      <c r="BJ77" s="1727"/>
      <c r="BK77" s="1450"/>
      <c r="BM77" s="1109"/>
      <c r="BN77" s="1109"/>
      <c r="BO77" s="1109"/>
      <c r="BP77" s="1109"/>
      <c r="BQ77" s="1123"/>
      <c r="BR77" s="1109"/>
      <c r="BS77" s="1109"/>
      <c r="BT77" s="1109"/>
      <c r="BU77" s="1109"/>
      <c r="BV77" s="1109"/>
      <c r="CB77" s="1109"/>
      <c r="CC77" s="1109"/>
      <c r="CD77" s="1109"/>
      <c r="CE77" s="1109"/>
      <c r="CF77" s="1109"/>
      <c r="CG77" s="1109"/>
      <c r="CH77" s="1456"/>
    </row>
    <row r="78" spans="1:86" s="311" customFormat="1" ht="12.75" customHeight="1">
      <c r="A78" s="3173"/>
      <c r="B78" s="1214"/>
      <c r="C78" s="3236"/>
      <c r="D78" s="3236"/>
      <c r="E78" s="3237" t="s">
        <v>645</v>
      </c>
      <c r="F78" s="2756">
        <f>SUM(F72:F77)+SUM(F61:F64)+SUM(F68:F69)</f>
        <v>0</v>
      </c>
      <c r="G78" s="3238" t="s">
        <v>57</v>
      </c>
      <c r="H78" s="2209">
        <f>O54</f>
        <v>0</v>
      </c>
      <c r="I78" s="1215" t="s">
        <v>165</v>
      </c>
      <c r="J78" s="3075"/>
      <c r="K78" s="3075"/>
      <c r="L78" s="3137" t="s">
        <v>1387</v>
      </c>
      <c r="M78" s="2167">
        <f>SUM(M61:M77)</f>
        <v>0</v>
      </c>
      <c r="N78" s="2167">
        <f>SUM(N61:N77)</f>
        <v>0</v>
      </c>
      <c r="O78" s="2167">
        <f>SUM(O61:O77)</f>
        <v>0</v>
      </c>
      <c r="P78" s="2167">
        <f>SUM(P61:P77)</f>
        <v>0</v>
      </c>
      <c r="Q78" s="2970"/>
      <c r="R78" s="3075"/>
      <c r="S78" s="3184"/>
      <c r="T78" s="9"/>
      <c r="U78" s="9"/>
      <c r="V78" s="9"/>
      <c r="W78" s="9"/>
      <c r="X78" s="9"/>
      <c r="Y78" s="9"/>
      <c r="Z78" s="2440"/>
      <c r="AA78" s="2814" t="s">
        <v>1917</v>
      </c>
      <c r="AB78" s="2815"/>
      <c r="AC78" s="2816"/>
      <c r="AD78" s="2816"/>
      <c r="AE78" s="2816"/>
      <c r="AF78" s="2816"/>
      <c r="AG78" s="2816"/>
      <c r="AH78" s="2816"/>
      <c r="AI78" s="2816"/>
      <c r="AJ78" s="2816"/>
      <c r="AK78" s="2816"/>
      <c r="AL78" s="2817"/>
      <c r="AM78" s="2817"/>
      <c r="AN78" s="2817"/>
      <c r="AO78" s="2817"/>
      <c r="AP78" s="2447"/>
      <c r="AY78" s="1453" t="s">
        <v>1430</v>
      </c>
      <c r="BA78" s="1689" t="s">
        <v>494</v>
      </c>
      <c r="BD78" s="1735"/>
      <c r="BJ78" s="1728"/>
      <c r="BK78" s="1453"/>
      <c r="BL78" s="1109"/>
      <c r="BM78" s="1109"/>
      <c r="BN78" s="1109"/>
      <c r="BO78" s="1109"/>
      <c r="BP78" s="1109"/>
      <c r="BQ78" s="1123"/>
      <c r="BR78" s="1109"/>
      <c r="BS78" s="1109"/>
      <c r="BT78" s="1109"/>
      <c r="BU78" s="1109"/>
      <c r="BV78" s="1109"/>
      <c r="BW78" s="1109"/>
      <c r="BX78" s="1109"/>
      <c r="BY78" s="1109"/>
      <c r="BZ78" s="1109"/>
      <c r="CA78" s="1109"/>
      <c r="CB78" s="1109"/>
      <c r="CC78" s="1109"/>
      <c r="CD78" s="1109"/>
      <c r="CE78" s="1109"/>
      <c r="CF78" s="1109"/>
      <c r="CG78" s="1109"/>
      <c r="CH78" s="1456"/>
    </row>
    <row r="79" spans="1:86" s="311" customFormat="1" ht="9.9499999999999993" customHeight="1">
      <c r="A79" s="3151"/>
      <c r="B79" s="3075"/>
      <c r="C79" s="3075"/>
      <c r="D79" s="1216"/>
      <c r="E79" s="3239" t="s">
        <v>647</v>
      </c>
      <c r="F79" s="3240">
        <f>F78-F72-F73</f>
        <v>0</v>
      </c>
      <c r="G79" s="1217" t="s">
        <v>57</v>
      </c>
      <c r="H79" s="3241" t="str">
        <f>VLOOKUP(1,BG34:BH50,2,FALSE)</f>
        <v/>
      </c>
      <c r="I79" s="2970"/>
      <c r="J79" s="3075"/>
      <c r="K79" s="3034"/>
      <c r="L79" s="3034"/>
      <c r="M79" s="3034"/>
      <c r="N79" s="3034"/>
      <c r="O79" s="3034"/>
      <c r="P79" s="3034"/>
      <c r="Q79" s="3205"/>
      <c r="R79" s="3075"/>
      <c r="S79" s="3184"/>
      <c r="T79" s="9"/>
      <c r="U79" s="9"/>
      <c r="V79" s="9"/>
      <c r="W79" s="9"/>
      <c r="X79" s="9"/>
      <c r="Y79" s="9"/>
      <c r="Z79" s="2440"/>
      <c r="AA79" s="2818" t="s">
        <v>1918</v>
      </c>
      <c r="AB79" s="2819"/>
      <c r="AC79" s="2816"/>
      <c r="AD79" s="2816"/>
      <c r="AE79" s="2816"/>
      <c r="AF79" s="2816"/>
      <c r="AG79" s="2816"/>
      <c r="AH79" s="2816"/>
      <c r="AI79" s="2816"/>
      <c r="AJ79" s="2816"/>
      <c r="AK79" s="2816"/>
      <c r="AL79" s="2817"/>
      <c r="AM79" s="2817"/>
      <c r="AN79" s="2817"/>
      <c r="AO79" s="2817"/>
      <c r="AP79" s="2447"/>
      <c r="AY79" s="1453" t="s">
        <v>1430</v>
      </c>
      <c r="BF79" s="320" t="s">
        <v>1993</v>
      </c>
      <c r="BK79" s="1453"/>
      <c r="BL79" s="1109"/>
      <c r="BM79" s="1109"/>
      <c r="BN79" s="1109"/>
      <c r="BO79" s="1109"/>
      <c r="BP79" s="1109"/>
      <c r="BQ79" s="1123"/>
      <c r="BR79" s="1109"/>
      <c r="BS79" s="1109"/>
      <c r="BT79" s="1109"/>
      <c r="BU79" s="1109"/>
      <c r="BV79" s="1109"/>
      <c r="BW79" s="1109"/>
      <c r="BX79" s="1109"/>
      <c r="BY79" s="1109"/>
      <c r="BZ79" s="1109"/>
      <c r="CA79" s="1109"/>
      <c r="CB79" s="1109"/>
      <c r="CC79" s="1109"/>
      <c r="CD79" s="1109"/>
      <c r="CE79" s="1109"/>
      <c r="CF79" s="1109"/>
      <c r="CG79" s="1109"/>
      <c r="CH79" s="1456"/>
    </row>
    <row r="80" spans="1:86" s="311" customFormat="1" ht="2.1" customHeight="1">
      <c r="A80" s="3151"/>
      <c r="B80" s="3204"/>
      <c r="C80" s="3204"/>
      <c r="D80" s="3204"/>
      <c r="E80" s="3204"/>
      <c r="F80" s="3204"/>
      <c r="G80" s="3204"/>
      <c r="H80" s="3204"/>
      <c r="I80" s="3204"/>
      <c r="J80" s="3204"/>
      <c r="K80" s="3204"/>
      <c r="L80" s="3204"/>
      <c r="M80" s="2970"/>
      <c r="N80" s="2970"/>
      <c r="O80" s="2970"/>
      <c r="P80" s="2970"/>
      <c r="Q80" s="2970"/>
      <c r="R80" s="3075"/>
      <c r="S80" s="3184"/>
      <c r="T80" s="9"/>
      <c r="U80" s="9"/>
      <c r="V80" s="9"/>
      <c r="W80" s="9"/>
      <c r="X80" s="9"/>
      <c r="Y80" s="9"/>
      <c r="Z80" s="2440"/>
      <c r="AA80" s="2818"/>
      <c r="AB80" s="2816"/>
      <c r="AC80" s="2816"/>
      <c r="AD80" s="2816"/>
      <c r="AE80" s="2816"/>
      <c r="AF80" s="2816"/>
      <c r="AG80" s="2816"/>
      <c r="AH80" s="2816"/>
      <c r="AI80" s="2816"/>
      <c r="AJ80" s="2816"/>
      <c r="AK80" s="2816"/>
      <c r="AL80" s="2817"/>
      <c r="AM80" s="2817"/>
      <c r="AN80" s="2817"/>
      <c r="AO80" s="2817"/>
      <c r="AP80" s="2447"/>
      <c r="AY80" s="1453" t="s">
        <v>1430</v>
      </c>
      <c r="BF80" s="320"/>
      <c r="BG80" s="320"/>
      <c r="BH80" s="320"/>
      <c r="BI80" s="320"/>
      <c r="BJ80" s="320"/>
      <c r="BK80" s="1453"/>
      <c r="BL80" s="1109"/>
      <c r="BM80" s="1109"/>
      <c r="BN80" s="1109"/>
      <c r="BO80" s="1109"/>
      <c r="BP80" s="1109"/>
      <c r="BQ80" s="1123"/>
      <c r="BR80" s="1109"/>
      <c r="BS80" s="1109"/>
      <c r="BT80" s="1109"/>
      <c r="BU80" s="1109"/>
      <c r="BV80" s="1109"/>
      <c r="BW80" s="1109"/>
      <c r="BX80" s="1109"/>
      <c r="BY80" s="1109"/>
      <c r="BZ80" s="1109"/>
      <c r="CA80" s="1109"/>
      <c r="CB80" s="1109"/>
      <c r="CC80" s="1109"/>
      <c r="CD80" s="1109"/>
      <c r="CE80" s="1109"/>
      <c r="CF80" s="1109"/>
      <c r="CG80" s="1109"/>
      <c r="CH80" s="1456"/>
    </row>
    <row r="81" spans="1:86" s="311" customFormat="1" ht="12" customHeight="1">
      <c r="A81" s="3151"/>
      <c r="B81" s="60" t="s">
        <v>1388</v>
      </c>
      <c r="C81" s="2812"/>
      <c r="D81" s="2812"/>
      <c r="E81" s="2812"/>
      <c r="F81" s="2812"/>
      <c r="G81" s="2812"/>
      <c r="H81" s="2210">
        <f>IF(K81&lt;=0,0,IF(K81&gt;H78/4,H78/4,K81))</f>
        <v>0</v>
      </c>
      <c r="I81" s="433" t="s">
        <v>165</v>
      </c>
      <c r="J81" s="2758">
        <v>0.4</v>
      </c>
      <c r="K81" s="3243">
        <f>IF(L81&gt;O44,O44,L81)</f>
        <v>0</v>
      </c>
      <c r="L81" s="3244">
        <f>IF(O44&gt;0,SUM(H72,H73,BO57),0)</f>
        <v>0</v>
      </c>
      <c r="M81" s="2770"/>
      <c r="N81" s="2177">
        <f>H81*J81</f>
        <v>0</v>
      </c>
      <c r="O81" s="2770"/>
      <c r="P81" s="435"/>
      <c r="Q81" s="2970"/>
      <c r="R81" s="3075"/>
      <c r="S81" s="3184"/>
      <c r="T81" s="9"/>
      <c r="U81" s="9"/>
      <c r="V81" s="9"/>
      <c r="W81" s="9"/>
      <c r="X81" s="9"/>
      <c r="Y81" s="9"/>
      <c r="Z81" s="2440"/>
      <c r="AA81" s="2818" t="s">
        <v>1895</v>
      </c>
      <c r="AB81" s="2815"/>
      <c r="AC81" s="2816"/>
      <c r="AD81" s="2816"/>
      <c r="AE81" s="2816"/>
      <c r="AF81" s="2816"/>
      <c r="AG81" s="2816"/>
      <c r="AH81" s="2816"/>
      <c r="AI81" s="2816"/>
      <c r="AJ81" s="2816"/>
      <c r="AK81" s="2816"/>
      <c r="AL81" s="2817"/>
      <c r="AM81" s="2817"/>
      <c r="AN81" s="2817"/>
      <c r="AO81" s="2817"/>
      <c r="AP81" s="2447"/>
      <c r="AY81" s="1453"/>
      <c r="BK81" s="1453"/>
      <c r="BL81" s="1109"/>
      <c r="BM81" s="1109"/>
      <c r="BN81" s="1109"/>
      <c r="BO81" s="1109"/>
      <c r="BP81" s="1109"/>
      <c r="BQ81" s="1123"/>
      <c r="BR81" s="1109"/>
      <c r="BS81" s="1109"/>
      <c r="BT81" s="1109"/>
      <c r="BU81" s="1109"/>
      <c r="BV81" s="1109"/>
      <c r="BW81" s="1109"/>
      <c r="BX81" s="1109"/>
      <c r="BY81" s="1109"/>
      <c r="BZ81" s="1109"/>
      <c r="CA81" s="1109"/>
      <c r="CB81" s="1109"/>
      <c r="CC81" s="1109"/>
      <c r="CD81" s="1109"/>
      <c r="CE81" s="1109"/>
      <c r="CF81" s="1109"/>
      <c r="CG81" s="1109"/>
      <c r="CH81" s="1456"/>
    </row>
    <row r="82" spans="1:86" ht="13.5">
      <c r="A82" s="3398"/>
      <c r="B82" s="3210"/>
      <c r="C82" s="3399" t="str">
        <f>VLOOKUP(1,BG53:BH56,2,FALSE)</f>
        <v/>
      </c>
      <c r="D82" s="3210"/>
      <c r="E82" s="3210"/>
      <c r="F82" s="3210"/>
      <c r="G82" s="3210"/>
      <c r="H82" s="3400"/>
      <c r="I82" s="3210"/>
      <c r="J82" s="3210"/>
      <c r="K82" s="3210"/>
      <c r="L82" s="3210"/>
      <c r="M82" s="3210"/>
      <c r="N82" s="3210"/>
      <c r="O82" s="3210"/>
      <c r="P82" s="3401" t="str">
        <f>VLOOKUP(1,BG59:BH62,2,FALSE)</f>
        <v/>
      </c>
      <c r="Q82" s="3210"/>
      <c r="R82" s="3210"/>
      <c r="S82" s="3219"/>
      <c r="Z82" s="2440" t="s">
        <v>54</v>
      </c>
      <c r="AA82" s="2820" t="s">
        <v>1919</v>
      </c>
      <c r="AB82" s="2816"/>
      <c r="AC82" s="2821"/>
      <c r="AD82" s="2821"/>
      <c r="AE82" s="2821"/>
      <c r="AF82" s="2821"/>
      <c r="AG82" s="2821"/>
      <c r="AH82" s="2821"/>
      <c r="AI82" s="2821"/>
      <c r="AJ82" s="2821"/>
      <c r="AK82" s="2821"/>
      <c r="AL82" s="2821"/>
      <c r="AM82" s="2821"/>
      <c r="AN82" s="2821"/>
      <c r="AO82" s="2821"/>
      <c r="AP82" s="2451"/>
      <c r="AY82" s="1452" t="s">
        <v>1430</v>
      </c>
      <c r="BK82" s="1452"/>
      <c r="CH82" s="1455"/>
    </row>
    <row r="83" spans="1:86">
      <c r="A83" s="28"/>
      <c r="B83" s="3402"/>
      <c r="C83" s="3403"/>
      <c r="D83" s="3402"/>
      <c r="E83" s="3402"/>
      <c r="F83" s="3402"/>
      <c r="G83" s="3402"/>
      <c r="H83" s="3402"/>
      <c r="I83" s="3402"/>
      <c r="J83" s="3402"/>
      <c r="K83" s="3402"/>
      <c r="L83" s="3403"/>
      <c r="M83" s="3402"/>
      <c r="N83" s="3402"/>
      <c r="O83" s="3402"/>
      <c r="P83" s="3402"/>
      <c r="Q83" s="3402"/>
      <c r="R83" s="3402"/>
      <c r="S83" s="3404"/>
      <c r="AA83" s="326" t="s">
        <v>1669</v>
      </c>
      <c r="AY83" s="1452" t="s">
        <v>1430</v>
      </c>
      <c r="BF83" s="708"/>
      <c r="BG83" s="464"/>
      <c r="BH83" s="428"/>
      <c r="BI83" s="582"/>
      <c r="BJ83" s="1986"/>
      <c r="BK83" s="1450"/>
      <c r="CH83" s="1455"/>
    </row>
    <row r="84" spans="1:86" s="311" customFormat="1" ht="20.100000000000001" customHeight="1">
      <c r="A84" s="603"/>
      <c r="B84" s="3130"/>
      <c r="C84" s="3130"/>
      <c r="D84" s="3130"/>
      <c r="E84" s="2486"/>
      <c r="F84" s="3130"/>
      <c r="G84" s="3130"/>
      <c r="H84" s="3130"/>
      <c r="I84" s="3130"/>
      <c r="J84" s="3130"/>
      <c r="K84" s="3130"/>
      <c r="L84" s="3130"/>
      <c r="M84" s="2494"/>
      <c r="N84" s="3130"/>
      <c r="O84" s="3130"/>
      <c r="P84" s="3130"/>
      <c r="Q84" s="3130"/>
      <c r="R84" s="2494"/>
      <c r="S84" s="126"/>
      <c r="T84" s="9"/>
      <c r="U84" s="9"/>
      <c r="V84" s="9"/>
      <c r="W84" s="9"/>
      <c r="X84" s="9"/>
      <c r="Y84" s="9"/>
      <c r="Z84" s="9"/>
      <c r="AA84" s="341" t="s">
        <v>1670</v>
      </c>
      <c r="AB84" s="325"/>
      <c r="AC84" s="306"/>
      <c r="AD84" s="318"/>
      <c r="AE84" s="318"/>
      <c r="AF84" s="318"/>
      <c r="AG84" s="318"/>
      <c r="AH84" s="318"/>
      <c r="AI84" s="318"/>
      <c r="AJ84" s="318"/>
      <c r="AK84" s="318"/>
      <c r="AL84" s="321"/>
      <c r="AY84" s="1453" t="s">
        <v>1430</v>
      </c>
      <c r="BK84" s="1453"/>
      <c r="BL84" s="1109"/>
      <c r="BM84" s="1109"/>
      <c r="BN84" s="1109"/>
      <c r="BO84" s="1109"/>
      <c r="BP84" s="1109"/>
      <c r="BQ84" s="1123"/>
      <c r="BR84" s="1109"/>
      <c r="BS84" s="1109"/>
      <c r="BT84" s="1109"/>
      <c r="BU84" s="1109"/>
      <c r="BV84" s="1109"/>
      <c r="BW84" s="1109"/>
      <c r="BX84" s="1109"/>
      <c r="BY84" s="1109"/>
      <c r="BZ84" s="1109"/>
      <c r="CA84" s="1109"/>
      <c r="CB84" s="1109"/>
      <c r="CC84" s="1109"/>
      <c r="CD84" s="1109"/>
      <c r="CE84" s="1109"/>
      <c r="CF84" s="1109"/>
      <c r="CG84" s="1109"/>
      <c r="CH84" s="1456"/>
    </row>
    <row r="85" spans="1:86" s="315" customFormat="1" ht="11.25" customHeight="1">
      <c r="A85" s="3405"/>
      <c r="B85" s="3075"/>
      <c r="C85" s="3075"/>
      <c r="D85" s="3075"/>
      <c r="E85" s="3075"/>
      <c r="F85" s="3075"/>
      <c r="G85" s="3075"/>
      <c r="H85" s="3075"/>
      <c r="I85" s="3075"/>
      <c r="J85" s="3077"/>
      <c r="K85" s="3133" t="s">
        <v>648</v>
      </c>
      <c r="L85" s="128" t="str">
        <f>C8</f>
        <v xml:space="preserve">  Original</v>
      </c>
      <c r="M85" s="2812"/>
      <c r="N85" s="3246"/>
      <c r="O85" s="1259">
        <f>G7</f>
        <v>0</v>
      </c>
      <c r="P85" s="1258">
        <f ca="1">IF(ISBLANK(O8),"",O8)</f>
        <v>46091</v>
      </c>
      <c r="Q85" s="129"/>
      <c r="R85" s="3406" t="s">
        <v>650</v>
      </c>
      <c r="S85" s="3213"/>
      <c r="T85" s="4"/>
      <c r="U85" s="4"/>
      <c r="V85" s="4"/>
      <c r="W85" s="4"/>
      <c r="X85" s="4"/>
      <c r="Y85" s="4"/>
      <c r="Z85" s="2494"/>
      <c r="AA85" s="2734" t="s">
        <v>1838</v>
      </c>
      <c r="AB85" s="2495"/>
      <c r="AC85" s="2496"/>
      <c r="AD85" s="2496"/>
      <c r="AE85" s="2497"/>
      <c r="AF85" s="2497"/>
      <c r="AG85" s="2497"/>
      <c r="AH85" s="2497"/>
      <c r="AI85" s="2498"/>
      <c r="AJ85" s="2498"/>
      <c r="AK85" s="2498"/>
      <c r="AL85" s="2499"/>
      <c r="AM85" s="2499"/>
      <c r="AN85" s="2499"/>
      <c r="AO85" s="2499"/>
      <c r="AP85" s="2499"/>
      <c r="AY85" s="1453" t="s">
        <v>1430</v>
      </c>
      <c r="BI85" s="530"/>
      <c r="BK85" s="1453"/>
      <c r="BL85" s="1110"/>
      <c r="BM85" s="1110"/>
      <c r="BN85" s="1110"/>
      <c r="BO85" s="1110"/>
      <c r="BP85" s="1110"/>
      <c r="BQ85" s="1123"/>
      <c r="BR85" s="1110"/>
      <c r="BS85" s="1110"/>
      <c r="BT85" s="1110"/>
      <c r="BU85" s="1110"/>
      <c r="BV85" s="1110"/>
      <c r="BW85" s="1110"/>
      <c r="BX85" s="1110"/>
      <c r="BY85" s="1110"/>
      <c r="BZ85" s="1110"/>
      <c r="CA85" s="1110"/>
      <c r="CB85" s="1110"/>
      <c r="CC85" s="1110"/>
      <c r="CD85" s="1110"/>
      <c r="CE85" s="1110"/>
      <c r="CF85" s="1110"/>
      <c r="CG85" s="1110"/>
      <c r="CH85" s="1463"/>
    </row>
    <row r="86" spans="1:86" s="311" customFormat="1" ht="15" customHeight="1">
      <c r="A86" s="3173"/>
      <c r="B86" s="3075"/>
      <c r="C86" s="3075"/>
      <c r="D86" s="3075"/>
      <c r="E86" s="3075"/>
      <c r="F86" s="3075"/>
      <c r="G86" s="3075"/>
      <c r="H86" s="3075"/>
      <c r="I86" s="3075"/>
      <c r="J86" s="3075"/>
      <c r="K86" s="3075"/>
      <c r="L86" s="3075"/>
      <c r="M86" s="3075"/>
      <c r="N86" s="3075"/>
      <c r="O86" s="3247"/>
      <c r="P86" s="3078"/>
      <c r="Q86" s="3078"/>
      <c r="R86" s="2929"/>
      <c r="S86" s="3407"/>
      <c r="T86" s="7"/>
      <c r="U86" s="7"/>
      <c r="V86" s="7"/>
      <c r="W86" s="7"/>
      <c r="X86" s="7"/>
      <c r="Y86" s="7"/>
      <c r="Z86" s="7"/>
      <c r="AA86" s="326" t="s">
        <v>723</v>
      </c>
      <c r="AB86" s="322"/>
      <c r="AC86" s="322"/>
      <c r="AD86" s="306"/>
      <c r="AE86" s="318"/>
      <c r="AF86" s="318"/>
      <c r="AG86" s="318"/>
      <c r="AH86" s="318"/>
      <c r="AI86" s="318"/>
      <c r="AJ86" s="318"/>
      <c r="AK86" s="318"/>
      <c r="AY86" s="1453" t="s">
        <v>1430</v>
      </c>
      <c r="BK86" s="1453"/>
      <c r="BL86" s="1109"/>
      <c r="BM86" s="1109"/>
      <c r="BN86" s="1109"/>
      <c r="BO86" s="1109"/>
      <c r="BP86" s="1109"/>
      <c r="BQ86" s="1123"/>
      <c r="BR86" s="1109"/>
      <c r="BS86" s="1109"/>
      <c r="BT86" s="1109"/>
      <c r="BU86" s="1109"/>
      <c r="BV86" s="1109"/>
      <c r="BW86" s="1109"/>
      <c r="BX86" s="1109"/>
      <c r="BY86" s="1109"/>
      <c r="BZ86" s="1109"/>
      <c r="CA86" s="1109"/>
      <c r="CB86" s="1109"/>
      <c r="CC86" s="1109"/>
      <c r="CD86" s="1109"/>
      <c r="CE86" s="1109"/>
      <c r="CF86" s="1109"/>
      <c r="CG86" s="1109"/>
      <c r="CH86" s="1456"/>
    </row>
    <row r="87" spans="1:86" s="311" customFormat="1" ht="11.1" customHeight="1">
      <c r="A87" s="3173"/>
      <c r="B87" s="97" t="s">
        <v>222</v>
      </c>
      <c r="C87" s="3248"/>
      <c r="D87" s="3249"/>
      <c r="E87" s="130"/>
      <c r="F87" s="111"/>
      <c r="G87" s="111" t="s">
        <v>651</v>
      </c>
      <c r="H87" s="1333" t="s">
        <v>652</v>
      </c>
      <c r="I87" s="131"/>
      <c r="J87" s="120" t="s">
        <v>653</v>
      </c>
      <c r="K87" s="3156"/>
      <c r="L87" s="112"/>
      <c r="M87" s="3075"/>
      <c r="N87" s="3075"/>
      <c r="O87" s="3075"/>
      <c r="P87" s="3204"/>
      <c r="Q87" s="3204"/>
      <c r="R87" s="3204"/>
      <c r="S87" s="3408"/>
      <c r="T87" s="132"/>
      <c r="U87" s="132"/>
      <c r="V87" s="132"/>
      <c r="W87" s="132"/>
      <c r="X87" s="132"/>
      <c r="Y87" s="132"/>
      <c r="Z87" s="132"/>
      <c r="AA87" s="959"/>
      <c r="AB87" s="959" t="s">
        <v>935</v>
      </c>
      <c r="AC87" s="322"/>
      <c r="AD87" s="318"/>
      <c r="AE87" s="318"/>
      <c r="AF87" s="318"/>
      <c r="AG87" s="318"/>
      <c r="AH87" s="318"/>
      <c r="AI87" s="318"/>
      <c r="AJ87" s="318"/>
      <c r="AK87" s="318"/>
      <c r="AY87" s="1453" t="s">
        <v>1430</v>
      </c>
      <c r="BF87" s="1426"/>
      <c r="BG87" s="1426"/>
      <c r="BH87" s="1426"/>
      <c r="BI87" s="1426"/>
      <c r="BJ87" s="1426"/>
      <c r="BK87" s="1450" t="s">
        <v>1430</v>
      </c>
      <c r="BL87" s="1107"/>
      <c r="BM87" s="1109"/>
      <c r="BN87" s="1109"/>
      <c r="BO87" s="1109"/>
      <c r="BP87" s="1109"/>
      <c r="BQ87" s="1123"/>
      <c r="BR87" s="1109"/>
      <c r="BS87" s="1109"/>
      <c r="BT87" s="1109"/>
      <c r="BU87" s="1109"/>
      <c r="BV87" s="1109"/>
      <c r="BW87" s="1109"/>
      <c r="BX87" s="1109"/>
      <c r="BY87" s="1109"/>
      <c r="BZ87" s="1109"/>
      <c r="CA87" s="1109"/>
      <c r="CB87" s="1109"/>
      <c r="CC87" s="1109"/>
      <c r="CD87" s="1109"/>
      <c r="CE87" s="1109"/>
      <c r="CF87" s="1109"/>
      <c r="CG87" s="1109"/>
      <c r="CH87" s="1477" t="s">
        <v>1424</v>
      </c>
    </row>
    <row r="88" spans="1:86" s="311" customFormat="1" ht="11.1" customHeight="1">
      <c r="A88" s="3409"/>
      <c r="B88" s="121"/>
      <c r="C88" s="3199"/>
      <c r="D88" s="3199"/>
      <c r="E88" s="3200"/>
      <c r="F88" s="19" t="s">
        <v>49</v>
      </c>
      <c r="G88" s="20" t="s">
        <v>654</v>
      </c>
      <c r="H88" s="19" t="s">
        <v>223</v>
      </c>
      <c r="I88" s="21" t="s">
        <v>59</v>
      </c>
      <c r="J88" s="3250" t="s">
        <v>655</v>
      </c>
      <c r="K88" s="3251"/>
      <c r="L88" s="3252"/>
      <c r="M88" s="97" t="s">
        <v>656</v>
      </c>
      <c r="N88" s="3156"/>
      <c r="O88" s="3156"/>
      <c r="P88" s="112"/>
      <c r="Q88" s="3075"/>
      <c r="R88" s="655" t="s">
        <v>61</v>
      </c>
      <c r="S88" s="3184"/>
      <c r="T88" s="9"/>
      <c r="U88" s="9"/>
      <c r="V88" s="9"/>
      <c r="W88" s="9"/>
      <c r="X88" s="9"/>
      <c r="Y88" s="9"/>
      <c r="Z88" s="9"/>
      <c r="AA88" s="336" t="s">
        <v>1247</v>
      </c>
      <c r="AB88" s="336"/>
      <c r="AC88" s="322"/>
      <c r="AD88" s="318"/>
      <c r="AE88" s="318"/>
      <c r="AF88" s="318"/>
      <c r="AG88" s="318"/>
      <c r="AH88" s="318"/>
      <c r="AI88" s="318"/>
      <c r="AJ88" s="318"/>
      <c r="AK88" s="318"/>
      <c r="AY88" s="1453" t="s">
        <v>1430</v>
      </c>
      <c r="BF88" s="311" t="s">
        <v>1419</v>
      </c>
      <c r="BG88" s="428" t="s">
        <v>574</v>
      </c>
      <c r="BH88" s="428" t="s">
        <v>180</v>
      </c>
      <c r="BI88" s="428" t="s">
        <v>178</v>
      </c>
      <c r="BJ88" s="1986" t="s">
        <v>575</v>
      </c>
      <c r="BK88" s="1450"/>
      <c r="BL88" s="1107"/>
      <c r="BM88" s="1109"/>
      <c r="BN88" s="1109"/>
      <c r="BO88" s="1109"/>
      <c r="BP88" s="1109"/>
      <c r="BQ88" s="1123"/>
      <c r="BR88" s="1109"/>
      <c r="BS88" s="1109"/>
      <c r="BT88" s="1109"/>
      <c r="BU88" s="1109"/>
      <c r="BV88" s="1109"/>
      <c r="BW88" s="1109"/>
      <c r="BX88" s="1109"/>
      <c r="BY88" s="1109"/>
      <c r="BZ88" s="1109"/>
      <c r="CA88" s="1109"/>
      <c r="CB88" s="1109"/>
      <c r="CC88" s="1109"/>
      <c r="CD88" s="1109"/>
      <c r="CE88" s="1109"/>
      <c r="CF88" s="1109"/>
      <c r="CG88" s="1109"/>
      <c r="CH88" s="1456"/>
    </row>
    <row r="89" spans="1:86" s="311" customFormat="1" ht="11.1" customHeight="1">
      <c r="A89" s="3410" t="s">
        <v>131</v>
      </c>
      <c r="B89" s="1" t="s">
        <v>657</v>
      </c>
      <c r="C89" s="3253"/>
      <c r="D89" s="3130"/>
      <c r="E89" s="126"/>
      <c r="F89" s="17" t="s">
        <v>57</v>
      </c>
      <c r="G89" s="17" t="s">
        <v>227</v>
      </c>
      <c r="H89" s="17" t="s">
        <v>227</v>
      </c>
      <c r="I89" s="18" t="s">
        <v>658</v>
      </c>
      <c r="J89" s="91" t="s">
        <v>659</v>
      </c>
      <c r="K89" s="2763" t="s">
        <v>660</v>
      </c>
      <c r="L89" s="3025" t="s">
        <v>64</v>
      </c>
      <c r="M89" s="91" t="s">
        <v>661</v>
      </c>
      <c r="N89" s="2763" t="s">
        <v>585</v>
      </c>
      <c r="O89" s="2763" t="s">
        <v>123</v>
      </c>
      <c r="P89" s="3025" t="s">
        <v>64</v>
      </c>
      <c r="Q89" s="3214"/>
      <c r="R89" s="656" t="s">
        <v>736</v>
      </c>
      <c r="S89" s="3184"/>
      <c r="T89" s="9"/>
      <c r="U89" s="9"/>
      <c r="V89" s="9"/>
      <c r="W89" s="9"/>
      <c r="X89" s="9"/>
      <c r="Y89" s="9"/>
      <c r="Z89" s="9"/>
      <c r="AA89" s="336" t="s">
        <v>1256</v>
      </c>
      <c r="AB89" s="336"/>
      <c r="AC89" s="322"/>
      <c r="AD89" s="306"/>
      <c r="AE89" s="318"/>
      <c r="AF89" s="318"/>
      <c r="AG89" s="318"/>
      <c r="AH89" s="318"/>
      <c r="AI89" s="318"/>
      <c r="AJ89" s="318"/>
      <c r="AK89" s="318"/>
      <c r="AY89" s="1453" t="s">
        <v>1430</v>
      </c>
      <c r="BF89" s="531"/>
      <c r="BG89" s="532" t="s">
        <v>223</v>
      </c>
      <c r="BH89" s="532" t="s">
        <v>179</v>
      </c>
      <c r="BI89" s="532" t="s">
        <v>179</v>
      </c>
      <c r="BJ89" s="1987" t="s">
        <v>576</v>
      </c>
      <c r="BK89" s="1450"/>
      <c r="BL89" s="1107"/>
      <c r="BM89" s="1109"/>
      <c r="BN89" s="1109"/>
      <c r="BO89" s="1109"/>
      <c r="BP89" s="1109"/>
      <c r="BQ89" s="1123"/>
      <c r="BR89" s="1109"/>
      <c r="BS89" s="1109"/>
      <c r="BT89" s="1109"/>
      <c r="BU89" s="1109"/>
      <c r="BV89" s="1109"/>
      <c r="BW89" s="1109"/>
      <c r="BX89" s="1109"/>
      <c r="BY89" s="1109"/>
      <c r="BZ89" s="1109"/>
      <c r="CA89" s="1109"/>
      <c r="CB89" s="1109"/>
      <c r="CC89" s="1109"/>
      <c r="CD89" s="1109"/>
      <c r="CE89" s="1109"/>
      <c r="CF89" s="1109"/>
      <c r="CG89" s="1109"/>
      <c r="CH89" s="1456"/>
    </row>
    <row r="90" spans="1:86" s="311" customFormat="1" ht="12" customHeight="1">
      <c r="A90" s="3411">
        <f>IF(ISBLANK(B90),0,VLOOKUP(B90,Daten!$B$6:$E$67,4,FALSE))</f>
        <v>0</v>
      </c>
      <c r="B90" s="3513" t="s">
        <v>945</v>
      </c>
      <c r="C90" s="3516"/>
      <c r="D90" s="3516"/>
      <c r="E90" s="3517"/>
      <c r="F90" s="2202"/>
      <c r="G90" s="3254">
        <f>VLOOKUP($A90,Daten!$E$6:$Y$67,21,FALSE)</f>
        <v>0</v>
      </c>
      <c r="H90" s="3255"/>
      <c r="I90" s="2211">
        <f>IF(H90&gt;0,F90*H90,F90*G90)</f>
        <v>0</v>
      </c>
      <c r="J90" s="122"/>
      <c r="K90" s="3128"/>
      <c r="L90" s="55"/>
      <c r="M90" s="3256" t="str">
        <f>IF(ISNUMBER($F90), IF(OR(A90="ccm",A90="ccmnp",A90="km",A90="kmnp",A90="rp",A90="rh",A90="wg",A90="wr",A90="wt",A90="ww",A90="fw",A90="rpnp",A90="rhnp",A90="wgnp",A90="wrnp",A90="wtnp",A90="wwnp",A90="fwnp"),  F90*(BH90+BI90),  IF(OR(H90&gt;0.8*BG90,ISBLANK(H90)), VLOOKUP($A90,Daten!$E$6:$L$67,5,FALSE)*F90, VLOOKUP($A90,Daten!$E$6:$L$67,5,FALSE)*H90/BG90*F90)),"")</f>
        <v/>
      </c>
      <c r="N90" s="3163" t="str">
        <f>IF(ISNUMBER($F90),  IF(VLOOKUP($A90,Daten!$E$6:$L$67,4,FALSE)=0,VLOOKUP($A90,Daten!$E$6:$L$67,6,FALSE)*$F90,VLOOKUP($A90,Daten!$E$6:$L$67,6,FALSE)*$I90),"")</f>
        <v/>
      </c>
      <c r="O90" s="3163" t="str">
        <f>IF(ISNUMBER($F90), IF(VLOOKUP($A90,Daten!$E$6:$L$67,4,FALSE)=0,VLOOKUP($A90,Daten!$E$6:$L$67,7,FALSE)*$F90,VLOOKUP($A90,Daten!$E$6:$L$67,7,FALSE)*$I90),"")</f>
        <v/>
      </c>
      <c r="P90" s="3162" t="str">
        <f>IF(ISNUMBER($F90), IF(VLOOKUP($A90,Daten!$E$6:$L$67,4,FALSE)=0,VLOOKUP($A90,Daten!$E$6:$L$67,8,FALSE)*$F90,VLOOKUP($A90,Daten!$E$6:$L$67,8,FALSE)*$I90),"")</f>
        <v/>
      </c>
      <c r="Q90" s="2970"/>
      <c r="R90" s="3390" t="str">
        <f>IF(ISNUMBER($F90), IF(ISNUMBER(BH90),   BH90&amp; IF(OR(BI90=0,ABS(BI90)&lt;0.5),"",( IF(BI90&lt;0,"","+")&amp;FIXED(BI90,0))),  ""), "")</f>
        <v/>
      </c>
      <c r="S90" s="3184"/>
      <c r="T90" s="9"/>
      <c r="U90" s="9"/>
      <c r="V90" s="9"/>
      <c r="W90" s="9"/>
      <c r="X90" s="9"/>
      <c r="Y90" s="9"/>
      <c r="Z90" s="9"/>
      <c r="AA90" s="3124" t="s">
        <v>1837</v>
      </c>
      <c r="AB90" s="318"/>
      <c r="AC90" s="318"/>
      <c r="AD90" s="306"/>
      <c r="AE90" s="318"/>
      <c r="AF90" s="318"/>
      <c r="AG90" s="318"/>
      <c r="AH90" s="318"/>
      <c r="AI90" s="318"/>
      <c r="AJ90" s="318"/>
      <c r="AK90" s="318"/>
      <c r="AY90" s="1453" t="s">
        <v>1430</v>
      </c>
      <c r="BF90" s="708">
        <f>A90</f>
        <v>0</v>
      </c>
      <c r="BG90" s="464">
        <f>VLOOKUP($A90,Daten!$E$6:$L$67,4,FALSE)</f>
        <v>0</v>
      </c>
      <c r="BH90" s="428">
        <f>IF(AND(H90&lt;1,ISNUMBER(H90)),0,VLOOKUP($A90,Daten!$E$6:$L$67,5,FALSE))</f>
        <v>0</v>
      </c>
      <c r="BI90" s="3068">
        <f>IF( AND(VLOOKUP($A90,Daten!$E$6:$P$67,12,FALSE)&lt;1,H90*1&lt;=0.8*BG90,ISNUMBER(H90)),(H90/BG90-1)*VLOOKUP($A90,Daten!$E$6:$P$67,5,FALSE),IF(H90*1&gt;0,IF(H90&gt;VLOOKUP($A90,Daten!$E$6:$P$67,12,FALSE), (VLOOKUP($A90,Daten!$E$6:$P$67,12,FALSE) - VLOOKUP($A90,Daten!$E$6:$P$67,4,FALSE) ) *  VLOOKUP($A90,Daten!$E$6:$P$67,11,FALSE), (H90 - VLOOKUP($A90,Daten!$E$6:$P$67,4,FALSE) ) *  VLOOKUP($A90,Daten!$E$6:$P$67,11,FALSE)), IF(ISBLANK(H90 ), (G90 - VLOOKUP($A90,Daten!$E$6:$P$67,4,FALSE) ) *  VLOOKUP($A90,Daten!$E$6:$P$67,11,FALSE),0)))</f>
        <v>0</v>
      </c>
      <c r="BJ90" s="1986">
        <f>IF(ISBLANK(H90),G90,H90)</f>
        <v>0</v>
      </c>
      <c r="BK90" s="1450"/>
      <c r="BL90" s="1107"/>
      <c r="BM90" s="1109"/>
      <c r="BN90" s="1109"/>
      <c r="BO90" s="1109"/>
      <c r="BP90" s="1109"/>
      <c r="BQ90" s="1123"/>
      <c r="BR90" s="1109"/>
      <c r="BS90" s="1109"/>
      <c r="BT90" s="1109"/>
      <c r="BU90" s="1109"/>
      <c r="BV90" s="1109"/>
      <c r="BW90" s="1109"/>
      <c r="BX90" s="1109"/>
      <c r="BY90" s="1109"/>
      <c r="BZ90" s="1109"/>
      <c r="CA90" s="1109"/>
      <c r="CB90" s="1109"/>
      <c r="CC90" s="1109"/>
      <c r="CD90" s="1109"/>
      <c r="CE90" s="1109"/>
      <c r="CF90" s="1109"/>
      <c r="CG90" s="1109"/>
      <c r="CH90" s="1456"/>
    </row>
    <row r="91" spans="1:86" s="311" customFormat="1" ht="12" customHeight="1">
      <c r="A91" s="3411">
        <f>IF(ISBLANK(B91),0,VLOOKUP(B91,Daten!$B$6:$E$67,4,FALSE))</f>
        <v>0</v>
      </c>
      <c r="B91" s="3513" t="s">
        <v>945</v>
      </c>
      <c r="C91" s="3516"/>
      <c r="D91" s="3516"/>
      <c r="E91" s="3517"/>
      <c r="F91" s="2202"/>
      <c r="G91" s="3254">
        <f>VLOOKUP($A91,Daten!$E$6:$Y$67,21,FALSE)</f>
        <v>0</v>
      </c>
      <c r="H91" s="3255"/>
      <c r="I91" s="3257">
        <f>IF(H91&gt;0,F91*H91,F91*G91)</f>
        <v>0</v>
      </c>
      <c r="J91" s="3158"/>
      <c r="K91" s="3214"/>
      <c r="L91" s="3215"/>
      <c r="M91" s="3256" t="str">
        <f>IF(ISNUMBER($F91), IF(OR(A91="ccm",A91="ccmnp",A91="km",A91="kmnp",A91="rp",A91="rh",A91="wg",A91="wr",A91="wt",A91="ww",A91="fw",A91="rpnp",A91="rhnp",A91="wgnp",A91="wrnp",A91="wtnp",A91="wwnp",A91="fwnp"),  F91*(BH91+BI91),  IF(OR(H91&gt;0.8*BG91,ISBLANK(H91)), VLOOKUP($A91,Daten!$E$6:$L$67,5,FALSE)*F91, VLOOKUP($A91,Daten!$E$6:$L$67,5,FALSE)*H91/BG91*F91)),"")</f>
        <v/>
      </c>
      <c r="N91" s="3163" t="str">
        <f>IF(ISNUMBER($F91),  IF(VLOOKUP($A91,Daten!$E$6:$L$67,4,FALSE)=0,VLOOKUP($A91,Daten!$E$6:$L$67,6,FALSE)*$F91,VLOOKUP($A91,Daten!$E$6:$L$67,6,FALSE)*$I91),"")</f>
        <v/>
      </c>
      <c r="O91" s="3163" t="str">
        <f>IF(ISNUMBER($F91), IF(VLOOKUP($A91,Daten!$E$6:$L$67,4,FALSE)=0,VLOOKUP($A91,Daten!$E$6:$L$67,7,FALSE)*$F91,VLOOKUP($A91,Daten!$E$6:$L$67,7,FALSE)*$I91),"")</f>
        <v/>
      </c>
      <c r="P91" s="3162" t="str">
        <f>IF(ISNUMBER($F91), IF(VLOOKUP($A91,Daten!$E$6:$L$67,4,FALSE)=0,VLOOKUP($A91,Daten!$E$6:$L$67,8,FALSE)*$F91,VLOOKUP($A91,Daten!$E$6:$L$67,8,FALSE)*$I91),"")</f>
        <v/>
      </c>
      <c r="Q91" s="2970"/>
      <c r="R91" s="3390" t="str">
        <f t="shared" ref="R91:R92" si="20">IF(ISNUMBER($F91), IF(ISNUMBER(BH91),   BH91&amp; IF(OR(BI91=0,ABS(BI91)&lt;0.5),"",( IF(BI91&lt;0,"","+")&amp;FIXED(BI91,0))),  ""), "")</f>
        <v/>
      </c>
      <c r="S91" s="3184"/>
      <c r="T91" s="9"/>
      <c r="U91" s="9"/>
      <c r="V91" s="9"/>
      <c r="W91" s="9"/>
      <c r="X91" s="9"/>
      <c r="Y91" s="9"/>
      <c r="Z91" s="9"/>
      <c r="AA91" s="341" t="s">
        <v>1702</v>
      </c>
      <c r="AB91" s="318"/>
      <c r="AC91" s="318"/>
      <c r="AD91" s="318"/>
      <c r="AE91" s="318"/>
      <c r="AF91" s="318"/>
      <c r="AG91" s="318"/>
      <c r="AH91" s="318"/>
      <c r="AI91" s="318"/>
      <c r="AJ91" s="318"/>
      <c r="AK91" s="318"/>
      <c r="AY91" s="1453" t="s">
        <v>1430</v>
      </c>
      <c r="BF91" s="708">
        <f>A91</f>
        <v>0</v>
      </c>
      <c r="BG91" s="464">
        <f>VLOOKUP($A91,Daten!$E$6:$L$67,4,FALSE)</f>
        <v>0</v>
      </c>
      <c r="BH91" s="428">
        <f>IF(AND(H91&lt;1,ISNUMBER(H91)),0,VLOOKUP($A91,Daten!$E$6:$L$67,5,FALSE))</f>
        <v>0</v>
      </c>
      <c r="BI91" s="3068">
        <f>IF( AND(VLOOKUP($A91,Daten!$E$6:$P$67,12,FALSE)&lt;1,H91*1&lt;=0.8*BG91,ISNUMBER(H91)),(H91/BG91-1)*VLOOKUP($A91,Daten!$E$6:$P$67,5,FALSE),IF(H91*1&gt;0,IF(H91&gt;VLOOKUP($A91,Daten!$E$6:$P$67,12,FALSE), (VLOOKUP($A91,Daten!$E$6:$P$67,12,FALSE) - VLOOKUP($A91,Daten!$E$6:$P$67,4,FALSE) ) *  VLOOKUP($A91,Daten!$E$6:$P$67,11,FALSE), (H91 - VLOOKUP($A91,Daten!$E$6:$P$67,4,FALSE) ) *  VLOOKUP($A91,Daten!$E$6:$P$67,11,FALSE)), IF(ISBLANK(H91 ), (G91 - VLOOKUP($A91,Daten!$E$6:$P$67,4,FALSE) ) *  VLOOKUP($A91,Daten!$E$6:$P$67,11,FALSE),0)))</f>
        <v>0</v>
      </c>
      <c r="BJ91" s="1986">
        <f>IF(ISBLANK(H91),G91,H91)</f>
        <v>0</v>
      </c>
      <c r="BK91" s="1450"/>
      <c r="BL91" s="1107"/>
      <c r="BM91" s="1109"/>
      <c r="BN91" s="1109"/>
      <c r="BO91" s="1109"/>
      <c r="BP91" s="1109"/>
      <c r="BQ91" s="1123"/>
      <c r="BR91" s="1109"/>
      <c r="BS91" s="1109"/>
      <c r="BT91" s="1109"/>
      <c r="BU91" s="1109"/>
      <c r="BV91" s="1109"/>
      <c r="BW91" s="1109"/>
      <c r="BX91" s="1109"/>
      <c r="BY91" s="1109"/>
      <c r="BZ91" s="1109"/>
      <c r="CA91" s="1109"/>
      <c r="CB91" s="1109"/>
      <c r="CC91" s="1109"/>
      <c r="CD91" s="1109"/>
      <c r="CE91" s="1109"/>
      <c r="CF91" s="1109"/>
      <c r="CG91" s="1109"/>
      <c r="CH91" s="1456"/>
    </row>
    <row r="92" spans="1:86" s="311" customFormat="1" ht="12" customHeight="1">
      <c r="A92" s="3411">
        <f>IF(ISBLANK(B92),0,VLOOKUP(B92,Daten!$B$6:$E$67,4,FALSE))</f>
        <v>0</v>
      </c>
      <c r="B92" s="3513" t="s">
        <v>945</v>
      </c>
      <c r="C92" s="3514"/>
      <c r="D92" s="3514"/>
      <c r="E92" s="3515"/>
      <c r="F92" s="2202"/>
      <c r="G92" s="3254">
        <f>VLOOKUP($A92,Daten!$E$6:$Y$67,21,FALSE)</f>
        <v>0</v>
      </c>
      <c r="H92" s="3255"/>
      <c r="I92" s="3257">
        <f>IF(H92&gt;0,F92*H92,F92*G92)</f>
        <v>0</v>
      </c>
      <c r="J92" s="3158"/>
      <c r="K92" s="3214"/>
      <c r="L92" s="3215"/>
      <c r="M92" s="3256" t="str">
        <f>IF(ISNUMBER($F92), IF(OR(A92="ccm",A92="ccmnp",A92="km",A92="kmnp",A92="rp",A92="rh",A92="wg",A92="wr",A92="wt",A92="ww",A92="fw",A92="rpnp",A92="rhnp",A92="wgnp",A92="wrnp",A92="wtnp",A92="wwnp",A92="fwnp"),  F92*(BH92+BI92),  IF(OR(H92&gt;0.8*BG92,ISBLANK(H92)), VLOOKUP($A92,Daten!$E$6:$L$67,5,FALSE)*F92, VLOOKUP($A92,Daten!$E$6:$L$67,5,FALSE)*H92/BG92*F92)),"")</f>
        <v/>
      </c>
      <c r="N92" s="3163" t="str">
        <f>IF(ISNUMBER($F92),  IF(VLOOKUP($A92,Daten!$E$6:$L$67,4,FALSE)=0,VLOOKUP($A92,Daten!$E$6:$L$67,6,FALSE)*$F92,VLOOKUP($A92,Daten!$E$6:$L$67,6,FALSE)*$I92),"")</f>
        <v/>
      </c>
      <c r="O92" s="3163" t="str">
        <f>IF(ISNUMBER($F92), IF(VLOOKUP($A92,Daten!$E$6:$L$67,4,FALSE)=0,VLOOKUP($A92,Daten!$E$6:$L$67,7,FALSE)*$F92,VLOOKUP($A92,Daten!$E$6:$L$67,7,FALSE)*$I92),"")</f>
        <v/>
      </c>
      <c r="P92" s="3162" t="str">
        <f>IF(ISNUMBER($F92), IF(VLOOKUP($A92,Daten!$E$6:$L$67,4,FALSE)=0,VLOOKUP($A92,Daten!$E$6:$L$67,8,FALSE)*$F92,VLOOKUP($A92,Daten!$E$6:$L$67,8,FALSE)*$I92),"")</f>
        <v/>
      </c>
      <c r="Q92" s="2970"/>
      <c r="R92" s="3390" t="str">
        <f t="shared" si="20"/>
        <v/>
      </c>
      <c r="S92" s="3184"/>
      <c r="T92" s="9"/>
      <c r="U92" s="9"/>
      <c r="V92" s="9"/>
      <c r="W92" s="9"/>
      <c r="X92" s="9"/>
      <c r="Y92" s="9"/>
      <c r="Z92" s="9"/>
      <c r="AA92" s="2500" t="s">
        <v>1892</v>
      </c>
      <c r="AB92" s="318"/>
      <c r="AC92" s="318"/>
      <c r="AD92" s="318"/>
      <c r="AE92" s="318"/>
      <c r="AF92" s="318"/>
      <c r="AG92" s="318"/>
      <c r="AH92" s="318"/>
      <c r="AI92" s="318"/>
      <c r="AJ92" s="318"/>
      <c r="AK92" s="318"/>
      <c r="AY92" s="1453" t="s">
        <v>1430</v>
      </c>
      <c r="BF92" s="708">
        <f>A92</f>
        <v>0</v>
      </c>
      <c r="BG92" s="464">
        <f>VLOOKUP($A92,Daten!$E$6:$L$67,4,FALSE)</f>
        <v>0</v>
      </c>
      <c r="BH92" s="428">
        <f>IF(AND(H92&lt;1,ISNUMBER(H92)),0,VLOOKUP($A92,Daten!$E$6:$L$67,5,FALSE))</f>
        <v>0</v>
      </c>
      <c r="BI92" s="3068">
        <f>IF( AND(VLOOKUP($A92,Daten!$E$6:$P$67,12,FALSE)&lt;1,H92*1&lt;=0.8*BG92,ISNUMBER(H92)),(H92/BG92-1)*VLOOKUP($A92,Daten!$E$6:$P$67,5,FALSE),IF(H92*1&gt;0,IF(H92&gt;VLOOKUP($A92,Daten!$E$6:$P$67,12,FALSE), (VLOOKUP($A92,Daten!$E$6:$P$67,12,FALSE) - VLOOKUP($A92,Daten!$E$6:$P$67,4,FALSE) ) *  VLOOKUP($A92,Daten!$E$6:$P$67,11,FALSE), (H92 - VLOOKUP($A92,Daten!$E$6:$P$67,4,FALSE) ) *  VLOOKUP($A92,Daten!$E$6:$P$67,11,FALSE)), IF(ISBLANK(H92 ), (G92 - VLOOKUP($A92,Daten!$E$6:$P$67,4,FALSE) ) *  VLOOKUP($A92,Daten!$E$6:$P$67,11,FALSE),0)))</f>
        <v>0</v>
      </c>
      <c r="BJ92" s="1986">
        <f>IF(ISBLANK(H92),G92,H92)</f>
        <v>0</v>
      </c>
      <c r="BK92" s="1450"/>
      <c r="BL92" s="1107"/>
      <c r="BM92" s="1109"/>
      <c r="BN92" s="1109"/>
      <c r="BO92" s="1109"/>
      <c r="BP92" s="1109"/>
      <c r="BQ92" s="1123"/>
      <c r="BR92" s="1109"/>
      <c r="BS92" s="1109"/>
      <c r="BT92" s="1109"/>
      <c r="BU92" s="1109"/>
      <c r="BV92" s="1109"/>
      <c r="BW92" s="1109"/>
      <c r="BX92" s="1109"/>
      <c r="BY92" s="1109"/>
      <c r="BZ92" s="1109"/>
      <c r="CA92" s="1109"/>
      <c r="CB92" s="1109"/>
      <c r="CC92" s="1109"/>
      <c r="CD92" s="1109"/>
      <c r="CE92" s="1109"/>
      <c r="CF92" s="1109"/>
      <c r="CG92" s="1109"/>
      <c r="CH92" s="1456"/>
    </row>
    <row r="93" spans="1:86" s="314" customFormat="1" ht="12" hidden="1" customHeight="1">
      <c r="A93" s="3412" t="s">
        <v>1810</v>
      </c>
      <c r="B93" s="3491"/>
      <c r="C93" s="3492"/>
      <c r="D93" s="3492"/>
      <c r="E93" s="3492"/>
      <c r="F93" s="2762"/>
      <c r="G93" s="3254"/>
      <c r="H93" s="2966"/>
      <c r="I93" s="3258"/>
      <c r="J93" s="2489"/>
      <c r="K93" s="2489"/>
      <c r="L93" s="2764"/>
      <c r="M93" s="3256"/>
      <c r="N93" s="3163"/>
      <c r="O93" s="3163"/>
      <c r="P93" s="3162"/>
      <c r="Q93" s="2966"/>
      <c r="R93" s="3390"/>
      <c r="S93" s="3184"/>
      <c r="T93" s="9"/>
      <c r="U93" s="9"/>
      <c r="V93" s="9"/>
      <c r="W93" s="9"/>
      <c r="X93" s="9"/>
      <c r="Y93" s="9"/>
      <c r="Z93" s="9"/>
      <c r="AA93" s="2751" t="s">
        <v>1862</v>
      </c>
      <c r="AB93" s="318"/>
      <c r="AC93" s="318"/>
      <c r="AD93" s="318"/>
      <c r="AE93" s="318"/>
      <c r="AF93" s="318"/>
      <c r="AG93" s="318"/>
      <c r="AH93" s="318"/>
      <c r="AI93" s="342"/>
      <c r="AJ93" s="342"/>
      <c r="AK93" s="342"/>
      <c r="AY93" s="1454" t="s">
        <v>1430</v>
      </c>
      <c r="BF93" s="2752"/>
      <c r="BG93" s="2753"/>
      <c r="BH93" s="2489"/>
      <c r="BI93" s="2754"/>
      <c r="BJ93" s="2755"/>
      <c r="BK93" s="1450" t="s">
        <v>1430</v>
      </c>
      <c r="BL93" s="1107"/>
      <c r="BM93" s="1111"/>
      <c r="BN93" s="1111"/>
      <c r="BO93" s="1111"/>
      <c r="BP93" s="1111"/>
      <c r="BQ93" s="1123"/>
      <c r="BR93" s="1111"/>
      <c r="BS93" s="1111"/>
      <c r="BT93" s="1111"/>
      <c r="BU93" s="1111"/>
      <c r="BV93" s="1111"/>
      <c r="BW93" s="1111"/>
      <c r="BX93" s="1111"/>
      <c r="BY93" s="1111"/>
      <c r="BZ93" s="1111"/>
      <c r="CA93" s="1111"/>
      <c r="CB93" s="1111"/>
      <c r="CC93" s="1111"/>
      <c r="CD93" s="1111"/>
      <c r="CE93" s="1111"/>
      <c r="CF93" s="1111"/>
      <c r="CG93" s="1111"/>
      <c r="CH93" s="1464"/>
    </row>
    <row r="94" spans="1:86" s="311" customFormat="1" ht="12" customHeight="1">
      <c r="A94" s="3413"/>
      <c r="B94" s="3259" t="s">
        <v>662</v>
      </c>
      <c r="C94" s="3078"/>
      <c r="D94" s="3078"/>
      <c r="E94" s="3078"/>
      <c r="F94" s="3260"/>
      <c r="G94" s="3078"/>
      <c r="H94" s="3075"/>
      <c r="I94" s="3261"/>
      <c r="J94" s="2763"/>
      <c r="K94" s="3214"/>
      <c r="L94" s="3215"/>
      <c r="M94" s="3163"/>
      <c r="N94" s="3163"/>
      <c r="O94" s="3163"/>
      <c r="P94" s="3162"/>
      <c r="Q94" s="2970"/>
      <c r="R94" s="2929"/>
      <c r="S94" s="3184"/>
      <c r="T94" s="9"/>
      <c r="U94" s="9"/>
      <c r="V94" s="9"/>
      <c r="W94" s="9"/>
      <c r="X94" s="13"/>
      <c r="Y94" s="13"/>
      <c r="Z94" s="1471"/>
      <c r="AA94" s="1472" t="s">
        <v>1261</v>
      </c>
      <c r="AB94" s="1473"/>
      <c r="AC94" s="1473"/>
      <c r="AD94" s="1473"/>
      <c r="AE94" s="1473"/>
      <c r="AF94" s="1473"/>
      <c r="AG94" s="1473"/>
      <c r="AH94" s="1473"/>
      <c r="AI94" s="1473"/>
      <c r="AJ94" s="1473"/>
      <c r="AK94" s="1473"/>
      <c r="AL94" s="1426"/>
      <c r="AM94" s="1426"/>
      <c r="AN94" s="1426"/>
      <c r="AO94" s="1426"/>
      <c r="AP94" s="1426"/>
      <c r="AY94" s="1453" t="s">
        <v>1430</v>
      </c>
      <c r="BK94" s="1450" t="s">
        <v>1430</v>
      </c>
      <c r="BL94" s="1107"/>
      <c r="BM94" s="1109"/>
      <c r="BN94" s="1109"/>
      <c r="BO94" s="1109"/>
      <c r="BP94" s="1109"/>
      <c r="BQ94" s="1123"/>
      <c r="BR94" s="1109"/>
      <c r="BS94" s="1109"/>
      <c r="BT94" s="1109"/>
      <c r="BU94" s="1109"/>
      <c r="BV94" s="1109"/>
      <c r="BW94" s="1109"/>
      <c r="BX94" s="1109"/>
      <c r="BY94" s="1109"/>
      <c r="BZ94" s="1109"/>
      <c r="CA94" s="1109"/>
      <c r="CB94" s="1109"/>
      <c r="CC94" s="1109"/>
      <c r="CD94" s="1109"/>
      <c r="CE94" s="1109"/>
      <c r="CF94" s="1109"/>
      <c r="CG94" s="1109"/>
      <c r="CH94" s="1477" t="s">
        <v>1424</v>
      </c>
    </row>
    <row r="95" spans="1:86" s="311" customFormat="1" ht="12" customHeight="1">
      <c r="A95" s="3411">
        <f>IF(ISBLANK(B95),0,VLOOKUP(B95,Daten!$B$76:$E$220,4,FALSE))</f>
        <v>0</v>
      </c>
      <c r="B95" s="3513" t="s">
        <v>945</v>
      </c>
      <c r="C95" s="3516"/>
      <c r="D95" s="3516"/>
      <c r="E95" s="3517"/>
      <c r="F95" s="2202"/>
      <c r="G95" s="3262">
        <f>VLOOKUP($A95,Daten!$E$76:$L$220,4,FALSE)</f>
        <v>0</v>
      </c>
      <c r="H95" s="3255"/>
      <c r="I95" s="3257">
        <f>IF(AND(H95&gt;0,G95&gt;0),F95*H95,F95*G95)</f>
        <v>0</v>
      </c>
      <c r="J95" s="161">
        <v>1</v>
      </c>
      <c r="K95" s="1334">
        <v>1</v>
      </c>
      <c r="L95" s="1334">
        <v>1</v>
      </c>
      <c r="M95" s="3163" t="str">
        <f>IF(ISNUMBER($F95),IF(OR(H95&gt;0.8*G95,ISBLANK(H95)), VLOOKUP($A95,Daten!$E$76:$L$220,5,FALSE)*F95, VLOOKUP($A95,Daten!$E$76:$L$220,5,FALSE)*H95/G95*F95),"")</f>
        <v/>
      </c>
      <c r="N95" s="3163" t="str">
        <f>IF(ISNUMBER($F95),IF(VLOOKUP($A95,Daten!$E$76:$L$220,4,FALSE)=0,VLOOKUP($A95,Daten!$E$76:$L$220,6,FALSE)*$F95*J95,VLOOKUP($A95,Daten!$E$76:$L$220,6,FALSE)*$I95*J95),"")</f>
        <v/>
      </c>
      <c r="O95" s="3163" t="str">
        <f>IF(ISNUMBER($F95),IF(VLOOKUP($A95,Daten!$E$76:$L$220,4,FALSE)=0,VLOOKUP($A95,Daten!$E$76:$L$220,7,FALSE)*$F95*K95,VLOOKUP($A95,Daten!$E$76:$L$220,7,FALSE)*$I95*K95),"")</f>
        <v/>
      </c>
      <c r="P95" s="3162" t="str">
        <f>IF(ISNUMBER($F95),IF(VLOOKUP($A95,Daten!$E$76:$L$220,4,FALSE)=0,VLOOKUP($A95,Daten!$E$76:$L$220,8,FALSE)*$F95*L95,VLOOKUP($A95,Daten!$E$76:$L$220,8,FALSE)*$I95*L95),"")</f>
        <v/>
      </c>
      <c r="Q95" s="2970"/>
      <c r="R95" s="2929"/>
      <c r="S95" s="3184"/>
      <c r="T95" s="9"/>
      <c r="U95" s="9"/>
      <c r="V95" s="9"/>
      <c r="W95" s="9"/>
      <c r="X95" s="9"/>
      <c r="Y95" s="9"/>
      <c r="Z95" s="1470"/>
      <c r="AA95" s="963" t="s">
        <v>1255</v>
      </c>
      <c r="AB95" s="348"/>
      <c r="AC95" s="318"/>
      <c r="AD95" s="318"/>
      <c r="AE95" s="318"/>
      <c r="AF95" s="318"/>
      <c r="AG95" s="318"/>
      <c r="AH95" s="318"/>
      <c r="AI95" s="318"/>
      <c r="AJ95" s="318"/>
      <c r="AK95" s="318"/>
      <c r="AY95" s="1453" t="s">
        <v>1430</v>
      </c>
      <c r="BK95" s="1453"/>
      <c r="BL95" s="1109"/>
      <c r="BM95" s="1109"/>
      <c r="BN95" s="1109"/>
      <c r="BO95" s="1109"/>
      <c r="BP95" s="1109"/>
      <c r="BQ95" s="1123"/>
      <c r="BR95" s="1109"/>
      <c r="BS95" s="1109"/>
      <c r="BT95" s="1109"/>
      <c r="BU95" s="1109"/>
      <c r="BV95" s="1109"/>
      <c r="BW95" s="1109"/>
      <c r="BX95" s="1109"/>
      <c r="BY95" s="1109"/>
      <c r="BZ95" s="1109"/>
      <c r="CA95" s="1109"/>
      <c r="CB95" s="1109"/>
      <c r="CC95" s="1109"/>
      <c r="CD95" s="1109"/>
      <c r="CE95" s="1109"/>
      <c r="CF95" s="1109"/>
      <c r="CG95" s="1109"/>
      <c r="CH95" s="1456"/>
    </row>
    <row r="96" spans="1:86" s="311" customFormat="1" ht="12" hidden="1" customHeight="1">
      <c r="A96" s="3412" t="s">
        <v>1810</v>
      </c>
      <c r="B96" s="3491"/>
      <c r="C96" s="3492"/>
      <c r="D96" s="3492"/>
      <c r="E96" s="3492"/>
      <c r="F96" s="2756"/>
      <c r="G96" s="3254"/>
      <c r="H96" s="2966"/>
      <c r="I96" s="3257"/>
      <c r="J96" s="2757"/>
      <c r="K96" s="2758"/>
      <c r="L96" s="2759"/>
      <c r="M96" s="3163"/>
      <c r="N96" s="3163"/>
      <c r="O96" s="3163"/>
      <c r="P96" s="3162"/>
      <c r="Q96" s="2966"/>
      <c r="R96" s="2929"/>
      <c r="S96" s="3184"/>
      <c r="T96" s="9"/>
      <c r="U96" s="9"/>
      <c r="V96" s="9"/>
      <c r="W96" s="9"/>
      <c r="X96" s="9"/>
      <c r="Y96" s="9"/>
      <c r="Z96" s="1470"/>
      <c r="AA96" s="2751" t="s">
        <v>1862</v>
      </c>
      <c r="AB96" s="964"/>
      <c r="AC96" s="318"/>
      <c r="AD96" s="318"/>
      <c r="AE96" s="318"/>
      <c r="AF96" s="318"/>
      <c r="AG96" s="318"/>
      <c r="AH96" s="318"/>
      <c r="AI96" s="318"/>
      <c r="AJ96" s="318"/>
      <c r="AK96" s="318"/>
      <c r="AY96" s="1453" t="s">
        <v>1430</v>
      </c>
      <c r="BK96" s="1453"/>
      <c r="BL96" s="1109"/>
      <c r="BM96" s="1109"/>
      <c r="BN96" s="1109"/>
      <c r="BO96" s="1109"/>
      <c r="BP96" s="1109"/>
      <c r="BQ96" s="1123"/>
      <c r="BR96" s="1109"/>
      <c r="BS96" s="1109"/>
      <c r="BT96" s="1109"/>
      <c r="BU96" s="1109"/>
      <c r="BV96" s="1109"/>
      <c r="BW96" s="1109"/>
      <c r="BX96" s="1109"/>
      <c r="BY96" s="1109"/>
      <c r="BZ96" s="1109"/>
      <c r="CA96" s="1109"/>
      <c r="CB96" s="1109"/>
      <c r="CC96" s="1109"/>
      <c r="CD96" s="1109"/>
      <c r="CE96" s="1109"/>
      <c r="CF96" s="1109"/>
      <c r="CG96" s="1109"/>
      <c r="CH96" s="1456"/>
    </row>
    <row r="97" spans="1:86" s="311" customFormat="1" ht="12" customHeight="1">
      <c r="A97" s="3413"/>
      <c r="B97" s="1263" t="s">
        <v>201</v>
      </c>
      <c r="C97" s="3199"/>
      <c r="D97" s="3199"/>
      <c r="E97" s="134" t="s">
        <v>530</v>
      </c>
      <c r="F97" s="2205"/>
      <c r="G97" s="127" t="s">
        <v>1880</v>
      </c>
      <c r="H97" s="3263"/>
      <c r="I97" s="3264"/>
      <c r="J97" s="3265"/>
      <c r="K97" s="3265"/>
      <c r="L97" s="277"/>
      <c r="M97" s="3163"/>
      <c r="N97" s="3163"/>
      <c r="O97" s="3163"/>
      <c r="P97" s="3162"/>
      <c r="Q97" s="2970"/>
      <c r="R97" s="2929"/>
      <c r="S97" s="3184"/>
      <c r="T97" s="9"/>
      <c r="U97" s="9"/>
      <c r="V97" s="9"/>
      <c r="W97" s="9"/>
      <c r="X97" s="9"/>
      <c r="Y97" s="9"/>
      <c r="Z97" s="1470"/>
      <c r="AA97" s="963" t="s">
        <v>1257</v>
      </c>
      <c r="AB97" s="964"/>
      <c r="AC97" s="318"/>
      <c r="AD97" s="318"/>
      <c r="AE97" s="318"/>
      <c r="AF97" s="318"/>
      <c r="AG97" s="318"/>
      <c r="AH97" s="318"/>
      <c r="AI97" s="318"/>
      <c r="AJ97" s="318"/>
      <c r="AK97" s="318"/>
      <c r="AY97" s="1453" t="s">
        <v>1430</v>
      </c>
      <c r="BK97" s="1453"/>
      <c r="BL97" s="1109"/>
      <c r="BM97" s="1109"/>
      <c r="BN97" s="1109"/>
      <c r="BO97" s="1109"/>
      <c r="BP97" s="1109"/>
      <c r="BQ97" s="1123"/>
      <c r="BR97" s="1109"/>
      <c r="BS97" s="1109"/>
      <c r="BT97" s="1109"/>
      <c r="BU97" s="1109"/>
      <c r="BV97" s="1109"/>
      <c r="BW97" s="1109"/>
      <c r="BX97" s="1109"/>
      <c r="BY97" s="1109"/>
      <c r="BZ97" s="1109"/>
      <c r="CA97" s="1109"/>
      <c r="CB97" s="1109"/>
      <c r="CC97" s="1109"/>
      <c r="CD97" s="1109"/>
      <c r="CE97" s="1109"/>
      <c r="CF97" s="1109"/>
      <c r="CG97" s="1109"/>
      <c r="CH97" s="1456"/>
    </row>
    <row r="98" spans="1:86" s="311" customFormat="1" ht="12" customHeight="1">
      <c r="A98" s="3414"/>
      <c r="B98" s="3259" t="s">
        <v>667</v>
      </c>
      <c r="C98" s="3075"/>
      <c r="D98" s="3075"/>
      <c r="E98" s="3137" t="s">
        <v>668</v>
      </c>
      <c r="F98" s="2205"/>
      <c r="G98" s="3266" t="s">
        <v>666</v>
      </c>
      <c r="H98" s="3266"/>
      <c r="I98" s="3267"/>
      <c r="J98" s="3268"/>
      <c r="K98" s="3214"/>
      <c r="L98" s="3214"/>
      <c r="M98" s="3216"/>
      <c r="N98" s="3163"/>
      <c r="O98" s="3163"/>
      <c r="P98" s="3162"/>
      <c r="Q98" s="2970"/>
      <c r="R98" s="3075"/>
      <c r="S98" s="3184"/>
      <c r="T98" s="9"/>
      <c r="U98" s="9"/>
      <c r="V98" s="9"/>
      <c r="W98" s="9"/>
      <c r="X98" s="9"/>
      <c r="Y98" s="9"/>
      <c r="Z98" s="1470"/>
      <c r="AA98" s="1305" t="s">
        <v>1258</v>
      </c>
      <c r="AB98" s="306"/>
      <c r="AC98" s="306"/>
      <c r="AD98" s="318"/>
      <c r="AE98" s="318"/>
      <c r="AF98" s="318"/>
      <c r="AG98" s="318"/>
      <c r="AH98" s="318"/>
      <c r="AI98" s="318"/>
      <c r="AJ98" s="318"/>
      <c r="AK98" s="318"/>
      <c r="AY98" s="1453" t="s">
        <v>1430</v>
      </c>
      <c r="BK98" s="1453"/>
      <c r="BL98" s="1109"/>
      <c r="BM98" s="1109"/>
      <c r="BN98" s="1109"/>
      <c r="BO98" s="1109"/>
      <c r="BP98" s="1109"/>
      <c r="BQ98" s="1123"/>
      <c r="BR98" s="1109"/>
      <c r="BS98" s="1109"/>
      <c r="BT98" s="1109"/>
      <c r="BU98" s="1109"/>
      <c r="BV98" s="1109"/>
      <c r="BW98" s="1109"/>
      <c r="BX98" s="1109"/>
      <c r="BY98" s="1109"/>
      <c r="BZ98" s="1109"/>
      <c r="CA98" s="1109"/>
      <c r="CB98" s="1109"/>
      <c r="CC98" s="1109"/>
      <c r="CD98" s="1109"/>
      <c r="CE98" s="1109"/>
      <c r="CF98" s="1109"/>
      <c r="CG98" s="1109"/>
      <c r="CH98" s="1456"/>
    </row>
    <row r="99" spans="1:86" s="311" customFormat="1" ht="12" customHeight="1">
      <c r="A99" s="3411">
        <f>IF(ISBLANK(B99),0,VLOOKUP(B99,Daten!$B$226:$E$282,4,FALSE))</f>
        <v>0</v>
      </c>
      <c r="B99" s="3513" t="s">
        <v>945</v>
      </c>
      <c r="C99" s="3516"/>
      <c r="D99" s="3516"/>
      <c r="E99" s="3517"/>
      <c r="F99" s="2202"/>
      <c r="G99" s="3262">
        <f>VLOOKUP($A99,Daten!$E$226:$L$282,4,FALSE)</f>
        <v>0</v>
      </c>
      <c r="H99" s="3255"/>
      <c r="I99" s="3257">
        <f>IF(AND(H99&gt;0,G99&gt;0),F99*H99,F99*G99)</f>
        <v>0</v>
      </c>
      <c r="J99" s="161"/>
      <c r="K99" s="1334">
        <v>1</v>
      </c>
      <c r="L99" s="1334">
        <v>1</v>
      </c>
      <c r="M99" s="3163" t="str">
        <f>IF(ISNUMBER($F99), VLOOKUP($A99,Daten!$E$226:$L$282,5,FALSE)*F99,"")</f>
        <v/>
      </c>
      <c r="N99" s="3163" t="str">
        <f>IF(ISNUMBER($F99),IF(VLOOKUP($A99,Daten!$E$226:$L$282,4,FALSE)=0,VLOOKUP($A99,Daten!$E$226:$L$282,6,FALSE)*$F99*J99,VLOOKUP($A99,Daten!$E$226:$L$282,6,FALSE)*$I99*J99),"")</f>
        <v/>
      </c>
      <c r="O99" s="3163" t="str">
        <f>IF(ISNUMBER($F99),IF(VLOOKUP($A99,Daten!$E$226:$L$282,4,FALSE)=0,VLOOKUP($A99,Daten!$E$226:$L$282,7,FALSE)*$F99*K99,VLOOKUP($A99,Daten!$E$226:$L$282,7,FALSE)*$I99*K99),"")</f>
        <v/>
      </c>
      <c r="P99" s="3162" t="str">
        <f>IF(ISNUMBER($F99),IF(VLOOKUP($A99,Daten!$E$226:$L$282,4,FALSE)=0,VLOOKUP($A99,Daten!$E$226:$L$282,8,FALSE)*$F99*L99,VLOOKUP($A99,Daten!$E$226:$L$282,8,FALSE)*$I99*L99),"")</f>
        <v/>
      </c>
      <c r="Q99" s="2970"/>
      <c r="R99" s="3075"/>
      <c r="S99" s="3184"/>
      <c r="T99" s="9"/>
      <c r="U99" s="9"/>
      <c r="V99" s="9"/>
      <c r="W99" s="9"/>
      <c r="X99" s="9"/>
      <c r="Y99" s="9"/>
      <c r="Z99" s="1470"/>
      <c r="AA99" s="964" t="s">
        <v>1259</v>
      </c>
      <c r="AB99" s="306"/>
      <c r="AC99" s="306"/>
      <c r="AD99" s="318"/>
      <c r="AE99" s="318"/>
      <c r="AF99" s="318"/>
      <c r="AG99" s="318"/>
      <c r="AH99" s="318"/>
      <c r="AI99" s="318"/>
      <c r="AJ99" s="318"/>
      <c r="AK99" s="318"/>
      <c r="AY99" s="1453" t="s">
        <v>1430</v>
      </c>
      <c r="BK99" s="1453"/>
      <c r="BL99" s="1109"/>
      <c r="BM99" s="1109"/>
      <c r="BN99" s="1109"/>
      <c r="BO99" s="1109"/>
      <c r="BP99" s="1109"/>
      <c r="BQ99" s="1123"/>
      <c r="BR99" s="1109"/>
      <c r="BS99" s="1109"/>
      <c r="BT99" s="1109"/>
      <c r="BU99" s="1109"/>
      <c r="BV99" s="1109"/>
      <c r="BW99" s="1109"/>
      <c r="BX99" s="1109"/>
      <c r="BY99" s="1109"/>
      <c r="BZ99" s="1109"/>
      <c r="CA99" s="1109"/>
      <c r="CB99" s="1109"/>
      <c r="CC99" s="1109"/>
      <c r="CD99" s="1109"/>
      <c r="CE99" s="1109"/>
      <c r="CF99" s="1109"/>
      <c r="CG99" s="1109"/>
      <c r="CH99" s="1456"/>
    </row>
    <row r="100" spans="1:86" s="311" customFormat="1" ht="12" hidden="1" customHeight="1">
      <c r="A100" s="3412" t="s">
        <v>1810</v>
      </c>
      <c r="B100" s="3491"/>
      <c r="C100" s="3492"/>
      <c r="D100" s="3492"/>
      <c r="E100" s="3492"/>
      <c r="F100" s="2756"/>
      <c r="G100" s="2760"/>
      <c r="H100" s="3269"/>
      <c r="I100" s="3270"/>
      <c r="J100" s="2757"/>
      <c r="K100" s="2758"/>
      <c r="L100" s="2759"/>
      <c r="M100" s="3163"/>
      <c r="N100" s="3163"/>
      <c r="O100" s="3163"/>
      <c r="P100" s="3162"/>
      <c r="Q100" s="2966"/>
      <c r="R100" s="2929"/>
      <c r="S100" s="3184"/>
      <c r="T100" s="9"/>
      <c r="U100" s="9"/>
      <c r="V100" s="9"/>
      <c r="W100" s="9"/>
      <c r="X100" s="9"/>
      <c r="Y100" s="9"/>
      <c r="Z100" s="9"/>
      <c r="AA100" s="2751" t="s">
        <v>1862</v>
      </c>
      <c r="AB100" s="343"/>
      <c r="AC100" s="318"/>
      <c r="AD100" s="318"/>
      <c r="AE100" s="318"/>
      <c r="AF100" s="318"/>
      <c r="AG100" s="318"/>
      <c r="AH100" s="318"/>
      <c r="AI100" s="318"/>
      <c r="AJ100" s="318"/>
      <c r="AK100" s="318"/>
      <c r="AY100" s="1453" t="s">
        <v>1430</v>
      </c>
      <c r="BK100" s="1453"/>
      <c r="BL100" s="1109"/>
      <c r="BM100" s="1109"/>
      <c r="BN100" s="1109"/>
      <c r="BO100" s="1109"/>
      <c r="BP100" s="1109"/>
      <c r="BQ100" s="1123"/>
      <c r="BR100" s="1109"/>
      <c r="BS100" s="1109"/>
      <c r="BT100" s="1109"/>
      <c r="BU100" s="1109"/>
      <c r="BV100" s="1109"/>
      <c r="BW100" s="1109"/>
      <c r="BX100" s="1109"/>
      <c r="BY100" s="1109"/>
      <c r="BZ100" s="1109"/>
      <c r="CA100" s="1109"/>
      <c r="CB100" s="1109"/>
      <c r="CC100" s="1109"/>
      <c r="CD100" s="1109"/>
      <c r="CE100" s="1109"/>
      <c r="CF100" s="1109"/>
      <c r="CG100" s="1109"/>
      <c r="CH100" s="1456"/>
    </row>
    <row r="101" spans="1:86" s="311" customFormat="1" ht="12" customHeight="1">
      <c r="A101" s="3414"/>
      <c r="B101" s="3259" t="s">
        <v>669</v>
      </c>
      <c r="C101" s="3078"/>
      <c r="D101" s="3078"/>
      <c r="E101" s="3078"/>
      <c r="F101" s="3260"/>
      <c r="G101" s="3078"/>
      <c r="H101" s="3078"/>
      <c r="I101" s="3260"/>
      <c r="J101" s="3271" t="str">
        <f>IF(COUNTBLANK(J99:J100)&gt;COUNTBLANK(F99:F100),"bei Dauerkulturen P-Korrekturfaktor eingeben","")</f>
        <v/>
      </c>
      <c r="K101" s="3214"/>
      <c r="L101" s="3214"/>
      <c r="M101" s="3216"/>
      <c r="N101" s="3163"/>
      <c r="O101" s="3163"/>
      <c r="P101" s="3162"/>
      <c r="Q101" s="2970"/>
      <c r="R101" s="3075"/>
      <c r="S101" s="3184"/>
      <c r="T101" s="9"/>
      <c r="U101" s="9"/>
      <c r="V101" s="9"/>
      <c r="W101" s="9"/>
      <c r="X101" s="9"/>
      <c r="Y101" s="9"/>
      <c r="Z101" s="9"/>
      <c r="AA101" s="1304" t="s">
        <v>1260</v>
      </c>
      <c r="AB101" s="318"/>
      <c r="AC101" s="318"/>
      <c r="AD101" s="318"/>
      <c r="AE101" s="318"/>
      <c r="AF101" s="318"/>
      <c r="AG101" s="318"/>
      <c r="AH101" s="318"/>
      <c r="AI101" s="318"/>
      <c r="AJ101" s="318"/>
      <c r="AK101" s="318"/>
      <c r="AY101" s="1453" t="s">
        <v>1430</v>
      </c>
      <c r="BF101" s="2487"/>
      <c r="BG101" s="2487"/>
      <c r="BH101" s="2487"/>
      <c r="BI101" s="2487"/>
      <c r="BJ101" s="2487"/>
      <c r="BK101" s="1453"/>
      <c r="BL101" s="1109"/>
      <c r="BM101" s="1109"/>
      <c r="BN101" s="1109"/>
      <c r="BO101" s="1109"/>
      <c r="BP101" s="1109"/>
      <c r="BQ101" s="1123"/>
      <c r="BR101" s="1109"/>
      <c r="BS101" s="1109"/>
      <c r="BT101" s="1109"/>
      <c r="BU101" s="1109"/>
      <c r="BV101" s="1109"/>
      <c r="BW101" s="1109"/>
      <c r="BX101" s="1109"/>
      <c r="BY101" s="1109"/>
      <c r="BZ101" s="1109"/>
      <c r="CA101" s="1109"/>
      <c r="CB101" s="1109"/>
      <c r="CC101" s="1109"/>
      <c r="CD101" s="1109"/>
      <c r="CE101" s="1109"/>
      <c r="CF101" s="1109"/>
      <c r="CG101" s="1109"/>
      <c r="CH101" s="1456"/>
    </row>
    <row r="102" spans="1:86" s="311" customFormat="1" ht="12" customHeight="1">
      <c r="A102" s="3411">
        <f>IF(ISBLANK(B102),0,VLOOKUP(B102,Daten!$B$77:$E$220,4,FALSE))</f>
        <v>0</v>
      </c>
      <c r="B102" s="3513" t="s">
        <v>945</v>
      </c>
      <c r="C102" s="3516"/>
      <c r="D102" s="3516"/>
      <c r="E102" s="3517"/>
      <c r="F102" s="2205"/>
      <c r="G102" s="3254">
        <f>VLOOKUP($A102,Daten!$E$6:$L$220,4,FALSE)</f>
        <v>0</v>
      </c>
      <c r="H102" s="3255"/>
      <c r="I102" s="3257">
        <f>IF(AND(H102&gt;0,G102&gt;0),F102*H102,F102*G102)</f>
        <v>0</v>
      </c>
      <c r="J102" s="161">
        <v>1</v>
      </c>
      <c r="K102" s="1334">
        <v>1</v>
      </c>
      <c r="L102" s="1334">
        <v>1</v>
      </c>
      <c r="M102" s="3163" t="str">
        <f>IF(ISNUMBER($F102),IF(OR(H102&gt;0.8*G102,ISBLANK(H102)), VLOOKUP($A102,Daten!$E$6:$L$220,5,FALSE)*F102, VLOOKUP($A102,Daten!$E$6:$L$220,5,FALSE)*H102/G102*F102),"")</f>
        <v/>
      </c>
      <c r="N102" s="3163" t="str">
        <f>IF(ISNUMBER($F102),IF(VLOOKUP($A102,Daten!$E$6:$L$220,4,FALSE)=0,VLOOKUP($A102,Daten!$E$6:$L$220,6,FALSE)*$F102*J102,VLOOKUP($A102,Daten!$E$6:$L$220,6,FALSE)*$I102*J102),"")</f>
        <v/>
      </c>
      <c r="O102" s="3163" t="str">
        <f>IF(ISNUMBER($F102),IF(VLOOKUP($A102,Daten!$E$6:$L$220,4,FALSE)=0,VLOOKUP($A102,Daten!$E$6:$L$220,7,FALSE)*$F102*K102,VLOOKUP($A102,Daten!$E$6:$L$220,7,FALSE)*$I102*K102),"")</f>
        <v/>
      </c>
      <c r="P102" s="3162" t="str">
        <f>IF(ISNUMBER($F102),IF(VLOOKUP($A102,Daten!$E$6:$L$220,4,FALSE)=0,VLOOKUP($A102,Daten!$E$6:$L$220,8,FALSE)*$F102*L102,VLOOKUP($A102,Daten!$E$6:$L$220,8,FALSE)*$I102*L102),"")</f>
        <v/>
      </c>
      <c r="Q102" s="2970"/>
      <c r="R102" s="3390" t="str">
        <f>IF(ISNUMBER($F102), IF(ISNUMBER(BH102),   BH102&amp; IF(BI102=0,"",( IF(BI102&lt;0,"","+")&amp;FIXED(BI102,0))),  ""), "")</f>
        <v/>
      </c>
      <c r="S102" s="3184"/>
      <c r="T102" s="9"/>
      <c r="U102" s="9"/>
      <c r="V102" s="9"/>
      <c r="W102" s="9"/>
      <c r="X102" s="9"/>
      <c r="Y102" s="9"/>
      <c r="Z102" s="9"/>
      <c r="AA102" s="326" t="s">
        <v>482</v>
      </c>
      <c r="AB102" s="318"/>
      <c r="AC102" s="318"/>
      <c r="AD102" s="318"/>
      <c r="AE102" s="318"/>
      <c r="AF102" s="318"/>
      <c r="AG102" s="318"/>
      <c r="AH102" s="318"/>
      <c r="AI102" s="318"/>
      <c r="AJ102" s="318"/>
      <c r="AK102" s="318"/>
      <c r="AY102" s="1453" t="s">
        <v>1430</v>
      </c>
      <c r="BF102" s="708">
        <f>A102</f>
        <v>0</v>
      </c>
      <c r="BG102" s="464">
        <f>VLOOKUP($A102,Daten!$E$6:$L$67,4,FALSE)</f>
        <v>0</v>
      </c>
      <c r="BH102" s="428">
        <f>IF(AND(H102&lt;1,ISNUMBER(H102)),0,VLOOKUP($A102,Daten!$E$6:$L$67,5,FALSE))</f>
        <v>0</v>
      </c>
      <c r="BI102" s="582">
        <f>IF( AND(VLOOKUP($A102,Daten!$E$6:$P$67,12,FALSE)&lt;1,H102*1&lt;=0.8*BG102,ISNUMBER(H102)),(H102/BG102-1)*VLOOKUP($A102,Daten!$E$6:$P$67,5,FALSE),IF(H102*1&gt;0,IF(H102&gt;VLOOKUP($A102,Daten!$E$6:$P$67,12,FALSE), (VLOOKUP($A102,Daten!$E$6:$P$67,12,FALSE) - VLOOKUP($A102,Daten!$E$6:$P$67,4,FALSE) ) *  VLOOKUP($A102,Daten!$E$6:$P$67,11,FALSE), (H102 - VLOOKUP($A102,Daten!$E$6:$P$67,4,FALSE) ) *  VLOOKUP($A102,Daten!$E$6:$P$67,11,FALSE)), IF(ISBLANK(H102 ), (G102 - VLOOKUP($A102,Daten!$E$6:$P$67,4,FALSE) ) *  VLOOKUP($A102,Daten!$E$6:$P$67,11,FALSE),0)))</f>
        <v>0</v>
      </c>
      <c r="BJ102" s="1986">
        <f>IF(ISBLANK(H102),G102,H102)</f>
        <v>0</v>
      </c>
      <c r="BK102" s="1450"/>
      <c r="BL102" s="1109"/>
      <c r="BM102" s="1109"/>
      <c r="BN102" s="1109"/>
      <c r="BO102" s="1109"/>
      <c r="BP102" s="1109"/>
      <c r="BQ102" s="1123"/>
      <c r="BR102" s="1109"/>
      <c r="BS102" s="1109"/>
      <c r="BT102" s="1109"/>
      <c r="BU102" s="1109"/>
      <c r="BV102" s="1109"/>
      <c r="BW102" s="1109"/>
      <c r="BX102" s="1109"/>
      <c r="BY102" s="1109"/>
      <c r="BZ102" s="1109"/>
      <c r="CA102" s="1109"/>
      <c r="CB102" s="1109"/>
      <c r="CC102" s="1109"/>
      <c r="CD102" s="1109"/>
      <c r="CE102" s="1109"/>
      <c r="CF102" s="1109"/>
      <c r="CG102" s="1109"/>
      <c r="CH102" s="1456"/>
    </row>
    <row r="103" spans="1:86" s="311" customFormat="1" ht="12" hidden="1" customHeight="1">
      <c r="A103" s="3412" t="s">
        <v>1810</v>
      </c>
      <c r="B103" s="3491"/>
      <c r="C103" s="3492"/>
      <c r="D103" s="3492"/>
      <c r="E103" s="3492"/>
      <c r="F103" s="2761"/>
      <c r="G103" s="2760"/>
      <c r="H103" s="2966"/>
      <c r="I103" s="3270"/>
      <c r="J103" s="2757"/>
      <c r="K103" s="2758"/>
      <c r="L103" s="2759"/>
      <c r="M103" s="3163"/>
      <c r="N103" s="3163"/>
      <c r="O103" s="3163"/>
      <c r="P103" s="3162"/>
      <c r="Q103" s="2966"/>
      <c r="R103" s="2929"/>
      <c r="S103" s="3184"/>
      <c r="T103" s="9"/>
      <c r="U103" s="9"/>
      <c r="V103" s="9"/>
      <c r="W103" s="9"/>
      <c r="X103" s="9"/>
      <c r="Y103" s="9"/>
      <c r="Z103" s="9"/>
      <c r="AA103" s="2751" t="s">
        <v>1862</v>
      </c>
      <c r="AB103" s="318"/>
      <c r="AC103" s="318"/>
      <c r="AD103" s="318"/>
      <c r="AE103" s="318"/>
      <c r="AF103" s="318"/>
      <c r="AG103" s="318"/>
      <c r="AH103" s="318"/>
      <c r="AI103" s="318"/>
      <c r="AJ103" s="318"/>
      <c r="AK103" s="318"/>
      <c r="AY103" s="1453" t="s">
        <v>1430</v>
      </c>
      <c r="BK103" s="1453"/>
      <c r="BL103" s="1109"/>
      <c r="BM103" s="1109"/>
      <c r="BN103" s="1109"/>
      <c r="BO103" s="1109"/>
      <c r="BP103" s="1109"/>
      <c r="BQ103" s="1123"/>
      <c r="BR103" s="1109"/>
      <c r="BS103" s="1109"/>
      <c r="BT103" s="1109"/>
      <c r="BU103" s="1109"/>
      <c r="BV103" s="1109"/>
      <c r="BW103" s="1109"/>
      <c r="BX103" s="1109"/>
      <c r="BY103" s="1109"/>
      <c r="BZ103" s="1109"/>
      <c r="CA103" s="1109"/>
      <c r="CB103" s="1109"/>
      <c r="CC103" s="1109"/>
      <c r="CD103" s="1109"/>
      <c r="CE103" s="1109"/>
      <c r="CF103" s="1109"/>
      <c r="CG103" s="1109"/>
      <c r="CH103" s="1456"/>
    </row>
    <row r="104" spans="1:86" s="311" customFormat="1" ht="12" customHeight="1">
      <c r="A104" s="3414"/>
      <c r="B104" s="136" t="s">
        <v>671</v>
      </c>
      <c r="C104" s="3272"/>
      <c r="D104" s="2812"/>
      <c r="E104" s="2812"/>
      <c r="F104" s="3273"/>
      <c r="G104" s="2812"/>
      <c r="H104" s="2435" t="s">
        <v>1883</v>
      </c>
      <c r="I104" s="2203"/>
      <c r="J104" s="603" t="s">
        <v>672</v>
      </c>
      <c r="K104" s="3075"/>
      <c r="L104" s="3075"/>
      <c r="M104" s="3216" t="str">
        <f>IF(ISNUMBER($I104),$I104*0.45,"")</f>
        <v/>
      </c>
      <c r="N104" s="3163" t="str">
        <f>IF(ISNUMBER($I104),$I104*0.15,"")</f>
        <v/>
      </c>
      <c r="O104" s="3163" t="str">
        <f>IF(ISNUMBER($I104),$I104*0.56,"")</f>
        <v/>
      </c>
      <c r="P104" s="3162" t="str">
        <f>IF(ISNUMBER($I104),$I104*0.08,"")</f>
        <v/>
      </c>
      <c r="Q104" s="2970"/>
      <c r="R104" s="3075"/>
      <c r="S104" s="3184"/>
      <c r="T104" s="9"/>
      <c r="U104" s="9"/>
      <c r="V104" s="9"/>
      <c r="W104" s="9"/>
      <c r="X104" s="9"/>
      <c r="Y104" s="9"/>
      <c r="Z104" s="9"/>
      <c r="AA104" s="326" t="s">
        <v>724</v>
      </c>
      <c r="AB104" s="318"/>
      <c r="AC104" s="318"/>
      <c r="AD104" s="318"/>
      <c r="AE104" s="318"/>
      <c r="AF104" s="318"/>
      <c r="AG104" s="318"/>
      <c r="AH104" s="318"/>
      <c r="AI104" s="318"/>
      <c r="AJ104" s="318"/>
      <c r="AK104" s="318"/>
      <c r="AY104" s="1453" t="s">
        <v>1430</v>
      </c>
      <c r="BK104" s="1453"/>
      <c r="BL104" s="1109"/>
      <c r="BM104" s="1109"/>
      <c r="BN104" s="1109"/>
      <c r="BO104" s="1109"/>
      <c r="BP104" s="1109"/>
      <c r="BQ104" s="1123"/>
      <c r="BR104" s="1109"/>
      <c r="BS104" s="1109"/>
      <c r="BT104" s="1109"/>
      <c r="BU104" s="1109"/>
      <c r="BV104" s="1109"/>
      <c r="BW104" s="1109"/>
      <c r="BX104" s="1109"/>
      <c r="BY104" s="1109"/>
      <c r="BZ104" s="1109"/>
      <c r="CA104" s="1109"/>
      <c r="CB104" s="1109"/>
      <c r="CC104" s="1109"/>
      <c r="CD104" s="1109"/>
      <c r="CE104" s="1109"/>
      <c r="CF104" s="1109"/>
      <c r="CG104" s="1109"/>
      <c r="CH104" s="1456"/>
    </row>
    <row r="105" spans="1:86" s="311" customFormat="1" ht="12" customHeight="1">
      <c r="A105" s="3414" t="s">
        <v>674</v>
      </c>
      <c r="B105" s="3259" t="s">
        <v>675</v>
      </c>
      <c r="C105" s="3075"/>
      <c r="D105" s="3075"/>
      <c r="E105" s="3075"/>
      <c r="F105" s="3034"/>
      <c r="G105" s="3075"/>
      <c r="H105" s="3137" t="str">
        <f>VLOOKUP(A105,Daten!$E$222:$L$224,2,FALSE)</f>
        <v>Stroh (85% TS)</v>
      </c>
      <c r="I105" s="2203"/>
      <c r="J105" s="3274" t="s">
        <v>169</v>
      </c>
      <c r="K105" s="3075"/>
      <c r="L105" s="3075"/>
      <c r="M105" s="3216" t="str">
        <f>IF(ISNUMBER($I105),VLOOKUP($A105,Daten!$E$222:$L$224,5,FALSE)*$I105,"")</f>
        <v/>
      </c>
      <c r="N105" s="3163" t="str">
        <f>IF(ISNUMBER($I105),VLOOKUP($A105,Daten!$E$222:$L$224,6,FALSE)*$I105,"")</f>
        <v/>
      </c>
      <c r="O105" s="3163" t="str">
        <f>IF(ISNUMBER($I105),VLOOKUP($A105,Daten!$E$222:$L$224,7,FALSE)*$I105,"")</f>
        <v/>
      </c>
      <c r="P105" s="3162" t="str">
        <f>IF(ISNUMBER($I105),VLOOKUP($A105,Daten!$E$222:$L$224,8,FALSE)*$I105,"")</f>
        <v/>
      </c>
      <c r="Q105" s="2970"/>
      <c r="R105" s="3075"/>
      <c r="S105" s="3184"/>
      <c r="T105" s="9"/>
      <c r="U105" s="9"/>
      <c r="V105" s="9"/>
      <c r="W105" s="9"/>
      <c r="X105" s="9"/>
      <c r="Y105" s="9"/>
      <c r="Z105" s="9"/>
      <c r="AA105" s="319"/>
      <c r="AB105" s="319" t="s">
        <v>676</v>
      </c>
      <c r="AC105" s="318"/>
      <c r="AD105" s="318"/>
      <c r="AE105" s="318"/>
      <c r="AF105" s="318"/>
      <c r="AG105" s="318"/>
      <c r="AH105" s="318"/>
      <c r="AI105" s="318"/>
      <c r="AJ105" s="318"/>
      <c r="AK105" s="318"/>
      <c r="AY105" s="1453" t="s">
        <v>1430</v>
      </c>
      <c r="BK105" s="1453"/>
      <c r="BL105" s="1109"/>
      <c r="BM105" s="1109"/>
      <c r="BN105" s="1109"/>
      <c r="BO105" s="1109"/>
      <c r="BP105" s="1109"/>
      <c r="BQ105" s="1123"/>
      <c r="BR105" s="1109"/>
      <c r="BS105" s="1109"/>
      <c r="BT105" s="1109"/>
      <c r="BU105" s="1109"/>
      <c r="BV105" s="1109"/>
      <c r="BW105" s="1109"/>
      <c r="BX105" s="1109"/>
      <c r="BY105" s="1109"/>
      <c r="BZ105" s="1109"/>
      <c r="CA105" s="1109"/>
      <c r="CB105" s="1109"/>
      <c r="CC105" s="1109"/>
      <c r="CD105" s="1109"/>
      <c r="CE105" s="1109"/>
      <c r="CF105" s="1109"/>
      <c r="CG105" s="1109"/>
      <c r="CH105" s="1456"/>
    </row>
    <row r="106" spans="1:86" s="311" customFormat="1" ht="12" customHeight="1">
      <c r="A106" s="3414" t="s">
        <v>677</v>
      </c>
      <c r="B106" s="3173"/>
      <c r="C106" s="3075"/>
      <c r="D106" s="3075"/>
      <c r="E106" s="3075"/>
      <c r="F106" s="3034"/>
      <c r="G106" s="3075"/>
      <c r="H106" s="3137" t="str">
        <f>VLOOKUP(A106,Daten!$E$222:$L$224,2,FALSE)</f>
        <v>Rübenblatt (15%TS)</v>
      </c>
      <c r="I106" s="2203"/>
      <c r="J106" s="3274" t="s">
        <v>169</v>
      </c>
      <c r="K106" s="3075"/>
      <c r="L106" s="3075"/>
      <c r="M106" s="3216" t="str">
        <f>IF(ISNUMBER($I106),VLOOKUP($A106,Daten!$E$222:$L$224,5,FALSE)*$I106,"")</f>
        <v/>
      </c>
      <c r="N106" s="3163" t="str">
        <f>IF(ISNUMBER($I106),VLOOKUP($A106,Daten!$E$222:$L$224,6,FALSE)*$I106,"")</f>
        <v/>
      </c>
      <c r="O106" s="3163" t="str">
        <f>IF(ISNUMBER($I106),VLOOKUP($A106,Daten!$E$222:$L$224,7,FALSE)*$I106,"")</f>
        <v/>
      </c>
      <c r="P106" s="3162" t="str">
        <f>IF(ISNUMBER($I106),VLOOKUP($A106,Daten!$E$222:$L$224,8,FALSE)*$I106,"")</f>
        <v/>
      </c>
      <c r="Q106" s="2970"/>
      <c r="R106" s="3075"/>
      <c r="S106" s="3184"/>
      <c r="T106" s="9"/>
      <c r="U106" s="9"/>
      <c r="V106" s="9"/>
      <c r="W106" s="9"/>
      <c r="X106" s="2778"/>
      <c r="Y106" s="9"/>
      <c r="Z106" s="9"/>
      <c r="AA106" s="318"/>
      <c r="AB106" s="318"/>
      <c r="AC106" s="318"/>
      <c r="AD106" s="318"/>
      <c r="AE106" s="318"/>
      <c r="AF106" s="318"/>
      <c r="AG106" s="318"/>
      <c r="AH106" s="318"/>
      <c r="AI106" s="318"/>
      <c r="AJ106" s="318"/>
      <c r="AK106" s="318"/>
      <c r="AY106" s="1453" t="s">
        <v>1430</v>
      </c>
      <c r="BK106" s="1453"/>
      <c r="BL106" s="1109"/>
      <c r="BM106" s="1109"/>
      <c r="BN106" s="1109"/>
      <c r="BO106" s="1109"/>
      <c r="BP106" s="1109"/>
      <c r="BQ106" s="1123"/>
      <c r="BR106" s="1109"/>
      <c r="BS106" s="1109"/>
      <c r="BT106" s="1109"/>
      <c r="BU106" s="1109"/>
      <c r="BV106" s="1109"/>
      <c r="BW106" s="1109"/>
      <c r="BX106" s="1109"/>
      <c r="BY106" s="1109"/>
      <c r="BZ106" s="1109"/>
      <c r="CA106" s="1109"/>
      <c r="CB106" s="1109"/>
      <c r="CC106" s="1109"/>
      <c r="CD106" s="1109"/>
      <c r="CE106" s="1109"/>
      <c r="CF106" s="1109"/>
      <c r="CG106" s="1109"/>
      <c r="CH106" s="1456"/>
    </row>
    <row r="107" spans="1:86" s="311" customFormat="1" ht="12" customHeight="1">
      <c r="A107" s="3415"/>
      <c r="B107" s="1337"/>
      <c r="C107" s="3275"/>
      <c r="D107" s="3275"/>
      <c r="E107" s="3276" t="s">
        <v>678</v>
      </c>
      <c r="F107" s="2214">
        <f>SUM(F90:F97)+SUM(F99:F100)</f>
        <v>0</v>
      </c>
      <c r="G107" s="601"/>
      <c r="H107" s="2805"/>
      <c r="I107" s="2805"/>
      <c r="J107" s="3277" t="s">
        <v>679</v>
      </c>
      <c r="K107" s="2213">
        <f>F107-F97</f>
        <v>0</v>
      </c>
      <c r="L107" s="3179" t="s">
        <v>646</v>
      </c>
      <c r="M107" s="2167">
        <f>SUM(M90:M106)</f>
        <v>0</v>
      </c>
      <c r="N107" s="2167">
        <f>SUM(N90:N106)</f>
        <v>0</v>
      </c>
      <c r="O107" s="2167">
        <f>SUM(O90:O106)</f>
        <v>0</v>
      </c>
      <c r="P107" s="2167">
        <f>SUM(P90:P106)</f>
        <v>0</v>
      </c>
      <c r="Q107" s="3278"/>
      <c r="R107" s="3075"/>
      <c r="S107" s="3416" t="s">
        <v>1872</v>
      </c>
      <c r="X107" s="2777"/>
      <c r="Y107" s="9"/>
      <c r="Z107" s="2648"/>
      <c r="AA107" s="2649" t="s">
        <v>726</v>
      </c>
      <c r="AB107" s="2650"/>
      <c r="AC107" s="2650"/>
      <c r="AD107" s="2650"/>
      <c r="AE107" s="2650"/>
      <c r="AF107" s="2651"/>
      <c r="AG107" s="2650"/>
      <c r="AH107" s="2650"/>
      <c r="AI107" s="2650"/>
      <c r="AJ107" s="2650"/>
      <c r="AK107" s="2780" t="s">
        <v>1792</v>
      </c>
      <c r="AL107" s="2654"/>
      <c r="AM107" s="2654"/>
      <c r="AN107" s="2655"/>
      <c r="AO107" s="2655"/>
      <c r="AP107" s="2655"/>
      <c r="AY107" s="1453" t="s">
        <v>1430</v>
      </c>
      <c r="BK107" s="1453"/>
      <c r="BL107" s="1109"/>
      <c r="BM107" s="1109"/>
      <c r="BN107" s="1109"/>
      <c r="BO107" s="1109"/>
      <c r="BP107" s="1109"/>
      <c r="BQ107" s="1123"/>
      <c r="BR107" s="1109"/>
      <c r="BS107" s="1109"/>
      <c r="BT107" s="1109"/>
      <c r="BU107" s="1109"/>
      <c r="BV107" s="1109"/>
      <c r="BW107" s="1109"/>
      <c r="BX107" s="1109"/>
      <c r="BY107" s="1109"/>
      <c r="BZ107" s="1109"/>
      <c r="CA107" s="1109"/>
      <c r="CB107" s="1109"/>
      <c r="CC107" s="1109"/>
      <c r="CD107" s="1109"/>
      <c r="CE107" s="1109"/>
      <c r="CF107" s="1109"/>
      <c r="CG107" s="1109"/>
      <c r="CH107" s="1456"/>
    </row>
    <row r="108" spans="1:86" s="311" customFormat="1" ht="6" customHeight="1">
      <c r="A108" s="3173"/>
      <c r="B108" s="2929"/>
      <c r="C108" s="2929"/>
      <c r="D108" s="2929"/>
      <c r="E108" s="2929"/>
      <c r="F108" s="2929"/>
      <c r="G108" s="2929"/>
      <c r="H108" s="2929"/>
      <c r="I108" s="2929"/>
      <c r="J108" s="2929"/>
      <c r="K108" s="2929"/>
      <c r="L108" s="3279" t="s">
        <v>1389</v>
      </c>
      <c r="M108" s="3280"/>
      <c r="N108" s="3280"/>
      <c r="O108" s="3280"/>
      <c r="P108" s="3280"/>
      <c r="Q108" s="3281"/>
      <c r="R108" s="3075"/>
      <c r="S108" s="3139"/>
      <c r="Y108" s="9"/>
      <c r="Z108" s="2648"/>
      <c r="AA108" s="2650"/>
      <c r="AB108" s="2650"/>
      <c r="AC108" s="2650"/>
      <c r="AD108" s="2650"/>
      <c r="AE108" s="2650"/>
      <c r="AF108" s="2650"/>
      <c r="AG108" s="2650"/>
      <c r="AH108" s="2650"/>
      <c r="AI108" s="2650"/>
      <c r="AJ108" s="2650"/>
      <c r="AK108" s="2653"/>
      <c r="AL108" s="2654"/>
      <c r="AM108" s="2654"/>
      <c r="AN108" s="2655"/>
      <c r="AO108" s="2655"/>
      <c r="AP108" s="2655"/>
      <c r="AY108" s="1453" t="s">
        <v>1430</v>
      </c>
      <c r="BK108" s="1453"/>
      <c r="BL108" s="1109"/>
      <c r="BM108" s="1109"/>
      <c r="BN108" s="1109"/>
      <c r="BO108" s="1109"/>
      <c r="BP108" s="1109"/>
      <c r="BQ108" s="1123"/>
      <c r="BR108" s="1109"/>
      <c r="BS108" s="1109"/>
      <c r="BT108" s="1109"/>
      <c r="BU108" s="1109"/>
      <c r="BV108" s="1109"/>
      <c r="BW108" s="1109"/>
      <c r="BX108" s="1109"/>
      <c r="BY108" s="1109"/>
      <c r="BZ108" s="1109"/>
      <c r="CA108" s="1109"/>
      <c r="CB108" s="1109"/>
      <c r="CC108" s="1109"/>
      <c r="CD108" s="1109"/>
      <c r="CE108" s="1109"/>
      <c r="CF108" s="1109"/>
      <c r="CG108" s="1109"/>
      <c r="CH108" s="1456"/>
    </row>
    <row r="109" spans="1:86" s="311" customFormat="1" ht="15.95" customHeight="1">
      <c r="A109" s="3417"/>
      <c r="B109" s="608"/>
      <c r="C109" s="3177" t="s">
        <v>1870</v>
      </c>
      <c r="D109" s="2215">
        <f>F107+F78+F98</f>
        <v>0</v>
      </c>
      <c r="E109" s="601"/>
      <c r="F109" s="3277" t="s">
        <v>334</v>
      </c>
      <c r="G109" s="2213">
        <f>K107+F79</f>
        <v>0</v>
      </c>
      <c r="H109" s="3282"/>
      <c r="I109" s="3282"/>
      <c r="J109" s="3282"/>
      <c r="K109" s="3283"/>
      <c r="L109" s="3177" t="s">
        <v>333</v>
      </c>
      <c r="M109" s="2212">
        <f>M107+M78</f>
        <v>0</v>
      </c>
      <c r="N109" s="2212">
        <f>N107+N78</f>
        <v>0</v>
      </c>
      <c r="O109" s="2212">
        <f>O107+O78</f>
        <v>0</v>
      </c>
      <c r="P109" s="2173">
        <f>P107+P78</f>
        <v>0</v>
      </c>
      <c r="Q109" s="3281"/>
      <c r="R109" s="3075"/>
      <c r="S109" s="3418"/>
      <c r="U109" s="1111" t="str">
        <f>IF(ISNUMBER(V109)," &gt; Betriebsdatenblatt  ","Fläche Betriebsdatenblatt -&gt;")</f>
        <v>Fläche Betriebsdatenblatt -&gt;</v>
      </c>
      <c r="V109" s="2202"/>
      <c r="W109" s="311" t="s">
        <v>1867</v>
      </c>
      <c r="X109" s="2783">
        <f>ROUND((V111-V109),6)</f>
        <v>0</v>
      </c>
      <c r="Y109" s="9"/>
      <c r="Z109" s="2648"/>
      <c r="AA109" s="2779" t="s">
        <v>725</v>
      </c>
      <c r="AB109" s="2650"/>
      <c r="AC109" s="2650"/>
      <c r="AD109" s="2650"/>
      <c r="AE109" s="2650"/>
      <c r="AF109" s="2651"/>
      <c r="AG109" s="2650"/>
      <c r="AH109" s="2650"/>
      <c r="AI109" s="2650"/>
      <c r="AJ109" s="2650"/>
      <c r="AK109" s="2781" t="s">
        <v>1793</v>
      </c>
      <c r="AL109" s="2654"/>
      <c r="AM109" s="2654"/>
      <c r="AN109" s="2655"/>
      <c r="AO109" s="2655"/>
      <c r="AP109" s="2655"/>
      <c r="AY109" s="1453" t="s">
        <v>1430</v>
      </c>
      <c r="BK109" s="1453"/>
      <c r="BL109" s="1109"/>
      <c r="BM109" s="1109"/>
      <c r="BN109" s="1109"/>
      <c r="BO109" s="1109"/>
      <c r="BP109" s="1109"/>
      <c r="BQ109" s="1123"/>
      <c r="BR109" s="1109"/>
      <c r="BS109" s="1109"/>
      <c r="BT109" s="1109"/>
      <c r="BU109" s="1109"/>
      <c r="BV109" s="1109"/>
      <c r="BW109" s="1109"/>
      <c r="BX109" s="1109"/>
      <c r="BY109" s="1109"/>
      <c r="BZ109" s="1109"/>
      <c r="CA109" s="1109"/>
      <c r="CB109" s="1109"/>
      <c r="CC109" s="1109"/>
      <c r="CD109" s="1109"/>
      <c r="CE109" s="1109"/>
      <c r="CF109" s="1109"/>
      <c r="CG109" s="1109"/>
      <c r="CH109" s="1456"/>
    </row>
    <row r="110" spans="1:86" s="311" customFormat="1" ht="2.4500000000000002" customHeight="1">
      <c r="A110" s="3419"/>
      <c r="B110" s="2805"/>
      <c r="C110" s="2929"/>
      <c r="D110" s="2929"/>
      <c r="E110" s="2929"/>
      <c r="F110" s="2929"/>
      <c r="G110" s="2929"/>
      <c r="H110" s="2929"/>
      <c r="I110" s="2929"/>
      <c r="J110" s="2929"/>
      <c r="K110" s="2929"/>
      <c r="L110" s="2929"/>
      <c r="M110" s="2929"/>
      <c r="N110" s="2929"/>
      <c r="O110" s="2929"/>
      <c r="P110" s="2486"/>
      <c r="Q110" s="2929"/>
      <c r="R110" s="3075"/>
      <c r="S110" s="3139"/>
      <c r="Y110" s="9"/>
      <c r="Z110" s="2648"/>
      <c r="AA110" s="2650"/>
      <c r="AB110" s="2650"/>
      <c r="AC110" s="2650"/>
      <c r="AD110" s="2650"/>
      <c r="AE110" s="2650"/>
      <c r="AF110" s="2650"/>
      <c r="AG110" s="2650"/>
      <c r="AH110" s="2650"/>
      <c r="AI110" s="2650"/>
      <c r="AJ110" s="2650"/>
      <c r="AK110" s="2653"/>
      <c r="AL110" s="2654"/>
      <c r="AM110" s="2654"/>
      <c r="AN110" s="2655"/>
      <c r="AO110" s="2655"/>
      <c r="AP110" s="2655"/>
      <c r="AY110" s="1453" t="s">
        <v>1430</v>
      </c>
      <c r="BK110" s="1453"/>
      <c r="BL110" s="1109"/>
      <c r="BM110" s="1109"/>
      <c r="BN110" s="1109"/>
      <c r="BO110" s="1109"/>
      <c r="BP110" s="1109"/>
      <c r="BQ110" s="1123"/>
      <c r="BR110" s="1109"/>
      <c r="BS110" s="1109"/>
      <c r="BT110" s="1109"/>
      <c r="BU110" s="1109"/>
      <c r="BV110" s="1109"/>
      <c r="BW110" s="1109"/>
      <c r="BX110" s="1109"/>
      <c r="BY110" s="1109"/>
      <c r="BZ110" s="1109"/>
      <c r="CA110" s="1109"/>
      <c r="CB110" s="1109"/>
      <c r="CC110" s="1109"/>
      <c r="CD110" s="1109"/>
      <c r="CE110" s="1109"/>
      <c r="CF110" s="1109"/>
      <c r="CG110" s="1109"/>
      <c r="CH110" s="1456"/>
    </row>
    <row r="111" spans="1:86" s="311" customFormat="1" ht="12" customHeight="1">
      <c r="A111" s="3417"/>
      <c r="B111" s="601"/>
      <c r="C111" s="3277" t="s">
        <v>331</v>
      </c>
      <c r="D111" s="2216">
        <v>0</v>
      </c>
      <c r="E111" s="601"/>
      <c r="F111" s="3284" t="s">
        <v>332</v>
      </c>
      <c r="G111" s="2213">
        <f>D109-D111</f>
        <v>0</v>
      </c>
      <c r="H111" s="601"/>
      <c r="I111" s="2805"/>
      <c r="J111" s="2805"/>
      <c r="K111" s="3285" t="s">
        <v>330</v>
      </c>
      <c r="L111" s="2756">
        <f>SUMIF(B90:B97,"&lt;&gt;*, GH*",F90:F97)+SUM(F61:F64)</f>
        <v>0</v>
      </c>
      <c r="M111" s="3286" t="s">
        <v>680</v>
      </c>
      <c r="N111" s="3287">
        <f>IF(L111=0,0,L111/D109)</f>
        <v>0</v>
      </c>
      <c r="O111" s="3288" t="s">
        <v>335</v>
      </c>
      <c r="P111" s="602"/>
      <c r="Q111" s="3281"/>
      <c r="R111" s="3075"/>
      <c r="S111" s="3139" t="s">
        <v>1873</v>
      </c>
      <c r="V111" s="284">
        <f>D109</f>
        <v>0</v>
      </c>
      <c r="W111" s="311" t="s">
        <v>1869</v>
      </c>
      <c r="X111" s="2782" t="str">
        <f>IF(ISBLANK(V109),"Betr.fläche eintragen",IF(X109 &lt; -0.0049999,ROUND(-X109,3)&amp;" ha  zu wenig",IF(X109 &gt; 0.005,ROUND(X109,3)&amp;" ha  zu viel","i.O.")))</f>
        <v>Betr.fläche eintragen</v>
      </c>
      <c r="Y111" s="9"/>
      <c r="Z111" s="2648"/>
      <c r="AA111" s="2649" t="s">
        <v>1868</v>
      </c>
      <c r="AB111" s="2652"/>
      <c r="AC111" s="2650"/>
      <c r="AD111" s="2650"/>
      <c r="AE111" s="2650"/>
      <c r="AF111" s="2650"/>
      <c r="AG111" s="2650"/>
      <c r="AH111" s="2650"/>
      <c r="AI111" s="2650"/>
      <c r="AJ111" s="2650"/>
      <c r="AK111" s="2653"/>
      <c r="AL111" s="2654"/>
      <c r="AM111" s="2654"/>
      <c r="AN111" s="2655"/>
      <c r="AO111" s="2655"/>
      <c r="AP111" s="2655"/>
      <c r="AY111" s="1453" t="s">
        <v>1430</v>
      </c>
      <c r="BK111" s="1453"/>
      <c r="BL111" s="1109"/>
      <c r="BM111" s="1109"/>
      <c r="BN111" s="1109"/>
      <c r="BO111" s="1109"/>
      <c r="BP111" s="1109"/>
      <c r="BQ111" s="1123"/>
      <c r="BR111" s="1109"/>
      <c r="BS111" s="1109"/>
      <c r="BT111" s="1109"/>
      <c r="BU111" s="1109"/>
      <c r="BV111" s="1109"/>
      <c r="BW111" s="1109"/>
      <c r="BX111" s="1109"/>
      <c r="BY111" s="1109"/>
      <c r="BZ111" s="1109"/>
      <c r="CA111" s="1109"/>
      <c r="CB111" s="1109"/>
      <c r="CC111" s="1109"/>
      <c r="CD111" s="1109"/>
      <c r="CE111" s="1109"/>
      <c r="CF111" s="1109"/>
      <c r="CG111" s="1109"/>
      <c r="CH111" s="1456"/>
    </row>
    <row r="112" spans="1:86" s="311" customFormat="1" ht="3.95" customHeight="1">
      <c r="A112" s="3359"/>
      <c r="B112" s="3075"/>
      <c r="C112" s="3075"/>
      <c r="D112" s="3075"/>
      <c r="E112" s="3075"/>
      <c r="F112" s="3075"/>
      <c r="G112" s="3075"/>
      <c r="H112" s="3075"/>
      <c r="I112" s="3075"/>
      <c r="J112" s="3075"/>
      <c r="K112" s="3075"/>
      <c r="L112" s="3075"/>
      <c r="M112" s="3075"/>
      <c r="N112" s="3075"/>
      <c r="O112" s="3075"/>
      <c r="P112" s="3075"/>
      <c r="Q112" s="3075"/>
      <c r="R112" s="3420"/>
      <c r="S112" s="3184"/>
      <c r="T112" s="9"/>
      <c r="U112" s="9"/>
      <c r="V112" s="9"/>
      <c r="W112" s="9"/>
      <c r="X112" s="9"/>
      <c r="Y112" s="9"/>
      <c r="Z112" s="9"/>
      <c r="AA112" s="306"/>
      <c r="AB112" s="306"/>
      <c r="AC112" s="319"/>
      <c r="AD112" s="319"/>
      <c r="AE112" s="319"/>
      <c r="AF112" s="319"/>
      <c r="AG112" s="319"/>
      <c r="AH112" s="319"/>
      <c r="AI112" s="319"/>
      <c r="AJ112" s="319"/>
      <c r="AK112" s="319"/>
      <c r="AY112" s="1453" t="s">
        <v>1430</v>
      </c>
      <c r="BK112" s="1453"/>
      <c r="BL112" s="1109"/>
      <c r="BM112" s="1109"/>
      <c r="BN112" s="1109"/>
      <c r="BO112" s="1109"/>
      <c r="BP112" s="1109"/>
      <c r="BQ112" s="1123"/>
      <c r="BR112" s="1109"/>
      <c r="BS112" s="1109"/>
      <c r="BT112" s="1109"/>
      <c r="BU112" s="1109"/>
      <c r="BV112" s="1109"/>
      <c r="BW112" s="1109"/>
      <c r="BX112" s="1109"/>
      <c r="BY112" s="1109"/>
      <c r="BZ112" s="1109"/>
      <c r="CA112" s="1109"/>
      <c r="CB112" s="1109"/>
      <c r="CC112" s="1109"/>
      <c r="CD112" s="1109"/>
      <c r="CE112" s="1109"/>
      <c r="CF112" s="1109"/>
      <c r="CG112" s="1109"/>
      <c r="CH112" s="1456"/>
    </row>
    <row r="113" spans="1:86" s="311" customFormat="1" ht="12" hidden="1" customHeight="1">
      <c r="A113" s="3359"/>
      <c r="B113" s="3075"/>
      <c r="C113" s="3075"/>
      <c r="D113" s="3075"/>
      <c r="E113" s="3075"/>
      <c r="F113" s="3075"/>
      <c r="G113" s="3075"/>
      <c r="H113" s="3075"/>
      <c r="I113" s="3075"/>
      <c r="J113" s="3075"/>
      <c r="K113" s="3133" t="s">
        <v>648</v>
      </c>
      <c r="L113" s="128" t="str">
        <f>C8</f>
        <v xml:space="preserve">  Original</v>
      </c>
      <c r="M113" s="2812"/>
      <c r="N113" s="3246"/>
      <c r="O113" s="1260">
        <f>G7</f>
        <v>0</v>
      </c>
      <c r="P113" s="3290">
        <f ca="1">IF(ISBLANK(O8),"",O8)</f>
        <v>46091</v>
      </c>
      <c r="Q113" s="129"/>
      <c r="R113" s="3406" t="s">
        <v>769</v>
      </c>
      <c r="S113" s="3184"/>
      <c r="T113" s="9"/>
      <c r="U113" s="9"/>
      <c r="V113" s="9"/>
      <c r="W113" s="9"/>
      <c r="X113" s="9"/>
      <c r="Y113" s="9"/>
      <c r="Z113" s="9"/>
      <c r="AA113" s="1261" t="s">
        <v>1083</v>
      </c>
      <c r="AB113" s="306"/>
      <c r="AC113" s="319"/>
      <c r="AD113" s="319"/>
      <c r="AE113" s="319"/>
      <c r="AF113" s="319"/>
      <c r="AG113" s="319"/>
      <c r="AH113" s="319"/>
      <c r="AI113" s="319"/>
      <c r="AJ113" s="319"/>
      <c r="AK113" s="319"/>
      <c r="AY113" s="1453" t="s">
        <v>1430</v>
      </c>
      <c r="BK113" s="1453"/>
      <c r="BL113" s="1109"/>
      <c r="BM113" s="1109"/>
      <c r="BN113" s="1109"/>
      <c r="BO113" s="1109"/>
      <c r="BP113" s="1109"/>
      <c r="BQ113" s="1123"/>
      <c r="BR113" s="1109"/>
      <c r="BS113" s="1109"/>
      <c r="BT113" s="1109"/>
      <c r="BU113" s="1109"/>
      <c r="BV113" s="1109"/>
      <c r="BW113" s="1109"/>
      <c r="BX113" s="1109"/>
      <c r="BY113" s="1109"/>
      <c r="BZ113" s="1109"/>
      <c r="CA113" s="1109"/>
      <c r="CB113" s="1109"/>
      <c r="CC113" s="1109"/>
      <c r="CD113" s="1109"/>
      <c r="CE113" s="1109"/>
      <c r="CF113" s="1109"/>
      <c r="CG113" s="1109"/>
      <c r="CH113" s="1456"/>
    </row>
    <row r="114" spans="1:86" s="311" customFormat="1" ht="3.95" customHeight="1">
      <c r="A114" s="3173"/>
      <c r="B114" s="3075"/>
      <c r="C114" s="3075"/>
      <c r="D114" s="3075"/>
      <c r="E114" s="3075"/>
      <c r="F114" s="3075"/>
      <c r="G114" s="3075"/>
      <c r="H114" s="3075"/>
      <c r="I114" s="3075"/>
      <c r="J114" s="3075"/>
      <c r="K114" s="3075"/>
      <c r="L114" s="3075"/>
      <c r="M114" s="3075"/>
      <c r="N114" s="3075"/>
      <c r="O114" s="3075"/>
      <c r="P114" s="3075"/>
      <c r="Q114" s="3075"/>
      <c r="R114" s="3420" t="s">
        <v>823</v>
      </c>
      <c r="S114" s="3289" t="s">
        <v>823</v>
      </c>
      <c r="T114" s="9"/>
      <c r="U114" s="9"/>
      <c r="V114" s="9"/>
      <c r="W114" s="9"/>
      <c r="X114" s="9"/>
      <c r="Y114" s="9"/>
      <c r="Z114" s="9"/>
      <c r="AA114" s="306"/>
      <c r="AB114" s="306"/>
      <c r="AC114" s="319"/>
      <c r="AD114" s="319"/>
      <c r="AE114" s="319"/>
      <c r="AF114" s="319"/>
      <c r="AG114" s="319"/>
      <c r="AH114" s="319"/>
      <c r="AI114" s="319"/>
      <c r="AJ114" s="319"/>
      <c r="AK114" s="319"/>
      <c r="AY114" s="1453" t="s">
        <v>1430</v>
      </c>
      <c r="BK114" s="1453"/>
      <c r="BL114" s="1109"/>
      <c r="BM114" s="1109"/>
      <c r="BN114" s="1109"/>
      <c r="BO114" s="1109"/>
      <c r="BP114" s="1109"/>
      <c r="BQ114" s="1123"/>
      <c r="BR114" s="1109"/>
      <c r="BS114" s="1109"/>
      <c r="BT114" s="1109"/>
      <c r="BU114" s="1109"/>
      <c r="BV114" s="1109"/>
      <c r="BW114" s="1109"/>
      <c r="BX114" s="1109"/>
      <c r="BY114" s="1109"/>
      <c r="BZ114" s="1109"/>
      <c r="CA114" s="1109"/>
      <c r="CB114" s="1109"/>
      <c r="CC114" s="1109"/>
      <c r="CD114" s="1109"/>
      <c r="CE114" s="1109"/>
      <c r="CF114" s="1109"/>
      <c r="CG114" s="1109"/>
      <c r="CH114" s="1456"/>
    </row>
    <row r="115" spans="1:86" s="311" customFormat="1" ht="20.25" customHeight="1">
      <c r="A115" s="3173"/>
      <c r="B115" s="3075"/>
      <c r="C115" s="3075"/>
      <c r="D115" s="3075"/>
      <c r="E115" s="3075"/>
      <c r="F115" s="3075"/>
      <c r="G115" s="3075"/>
      <c r="H115" s="3075"/>
      <c r="I115" s="3075"/>
      <c r="J115" s="3075"/>
      <c r="K115" s="3075"/>
      <c r="L115" s="3075"/>
      <c r="M115" s="3075"/>
      <c r="N115" s="3075"/>
      <c r="O115" s="3075"/>
      <c r="P115" s="3075"/>
      <c r="Q115" s="3075"/>
      <c r="R115" s="3421" t="s">
        <v>80</v>
      </c>
      <c r="S115" s="3422" t="s">
        <v>80</v>
      </c>
      <c r="T115" s="9"/>
      <c r="U115" s="9"/>
      <c r="V115" s="9"/>
      <c r="W115" s="9"/>
      <c r="X115" s="9"/>
      <c r="Y115" s="9"/>
      <c r="Z115" s="9"/>
      <c r="AA115" s="326" t="s">
        <v>1893</v>
      </c>
      <c r="AB115" s="306"/>
      <c r="AC115" s="318"/>
      <c r="AD115" s="318"/>
      <c r="AE115" s="318"/>
      <c r="AF115" s="318"/>
      <c r="AG115" s="318"/>
      <c r="AH115" s="318"/>
      <c r="AI115" s="318"/>
      <c r="AJ115" s="318"/>
      <c r="AK115" s="318"/>
      <c r="AY115" s="1453" t="s">
        <v>1430</v>
      </c>
      <c r="BK115" s="1453"/>
      <c r="BL115" s="1109"/>
      <c r="BM115" s="1109"/>
      <c r="BN115" s="1109"/>
      <c r="BO115" s="1109"/>
      <c r="BP115" s="1109"/>
      <c r="BQ115" s="1123"/>
      <c r="BR115" s="1109"/>
      <c r="BS115" s="1109"/>
      <c r="BT115" s="1109"/>
      <c r="BU115" s="1109"/>
      <c r="BV115" s="1109"/>
      <c r="BW115" s="1109"/>
      <c r="BX115" s="1109"/>
      <c r="BY115" s="1109"/>
      <c r="BZ115" s="1109"/>
      <c r="CA115" s="1109"/>
      <c r="CB115" s="1109"/>
      <c r="CC115" s="1109"/>
      <c r="CD115" s="1109"/>
      <c r="CE115" s="1109"/>
      <c r="CF115" s="1109"/>
      <c r="CG115" s="1109"/>
      <c r="CH115" s="1456"/>
    </row>
    <row r="116" spans="1:86" s="311" customFormat="1" ht="13.5">
      <c r="A116" s="3173"/>
      <c r="B116" s="3075"/>
      <c r="C116" s="3075"/>
      <c r="D116" s="3075"/>
      <c r="E116" s="3075"/>
      <c r="F116" s="3075"/>
      <c r="G116" s="267" t="s">
        <v>59</v>
      </c>
      <c r="H116" s="3075"/>
      <c r="I116" s="3075"/>
      <c r="J116" s="3075"/>
      <c r="K116" s="3075"/>
      <c r="L116" s="3075"/>
      <c r="M116" s="3075"/>
      <c r="N116" s="3075"/>
      <c r="O116" s="3075"/>
      <c r="P116" s="3075"/>
      <c r="Q116" s="3075"/>
      <c r="R116" s="278" t="s">
        <v>86</v>
      </c>
      <c r="S116" s="3184" t="s">
        <v>54</v>
      </c>
      <c r="T116" s="9"/>
      <c r="U116" s="9"/>
      <c r="V116" s="9"/>
      <c r="W116" s="9"/>
      <c r="X116" s="9"/>
      <c r="Y116" s="9"/>
      <c r="Z116" s="9"/>
      <c r="AA116" s="326" t="s">
        <v>1481</v>
      </c>
      <c r="AB116" s="306"/>
      <c r="AC116" s="318"/>
      <c r="AD116" s="318"/>
      <c r="AE116" s="318"/>
      <c r="AF116" s="318"/>
      <c r="AG116" s="318"/>
      <c r="AH116" s="342"/>
      <c r="AI116" s="318"/>
      <c r="AJ116" s="318"/>
      <c r="AK116" s="318"/>
      <c r="AY116" s="1453" t="s">
        <v>1430</v>
      </c>
      <c r="BK116" s="1453"/>
      <c r="BL116" s="1109"/>
      <c r="BM116" s="1109"/>
      <c r="BN116" s="1109"/>
      <c r="BO116" s="1109"/>
      <c r="BP116" s="1109"/>
      <c r="BQ116" s="1123"/>
      <c r="BR116" s="1109"/>
      <c r="BS116" s="1109"/>
      <c r="BT116" s="1109"/>
      <c r="BU116" s="1109"/>
      <c r="BV116" s="1109"/>
      <c r="BW116" s="1109"/>
      <c r="BX116" s="1109"/>
      <c r="BY116" s="1109"/>
      <c r="BZ116" s="1109"/>
      <c r="CA116" s="1109"/>
      <c r="CB116" s="1109"/>
      <c r="CC116" s="1109"/>
      <c r="CD116" s="1109"/>
      <c r="CE116" s="1109"/>
      <c r="CF116" s="1109"/>
      <c r="CG116" s="1109"/>
      <c r="CH116" s="1456"/>
    </row>
    <row r="117" spans="1:86" s="314" customFormat="1" ht="12" customHeight="1">
      <c r="A117" s="3423"/>
      <c r="B117" s="3291"/>
      <c r="C117" s="3291"/>
      <c r="D117" s="3199"/>
      <c r="E117" s="3200"/>
      <c r="F117" s="3499" t="s">
        <v>52</v>
      </c>
      <c r="G117" s="619" t="s">
        <v>1098</v>
      </c>
      <c r="H117" s="3249" t="s">
        <v>698</v>
      </c>
      <c r="I117" s="3249"/>
      <c r="J117" s="3249"/>
      <c r="K117" s="3249"/>
      <c r="L117" s="130"/>
      <c r="M117" s="113" t="s">
        <v>99</v>
      </c>
      <c r="N117" s="3156"/>
      <c r="O117" s="3156"/>
      <c r="P117" s="112"/>
      <c r="Q117" s="131"/>
      <c r="R117" s="279" t="s">
        <v>699</v>
      </c>
      <c r="S117" s="3424" t="str">
        <f>IF($K$7="BIO","   BIO - Hofdünger","")</f>
        <v/>
      </c>
      <c r="T117" s="2030"/>
      <c r="U117" s="2030"/>
      <c r="V117" s="2030"/>
      <c r="W117" s="2030"/>
      <c r="X117" s="2030"/>
      <c r="Y117" s="2030"/>
      <c r="Z117" s="2"/>
      <c r="AA117" s="319"/>
      <c r="AB117" s="345" t="s">
        <v>190</v>
      </c>
      <c r="AC117" s="326"/>
      <c r="AD117" s="318"/>
      <c r="AE117" s="318"/>
      <c r="AF117" s="318"/>
      <c r="AG117" s="318"/>
      <c r="AH117" s="342"/>
      <c r="AI117" s="318"/>
      <c r="AJ117" s="318"/>
      <c r="AK117" s="318"/>
      <c r="AY117" s="1454" t="s">
        <v>1430</v>
      </c>
      <c r="BK117" s="1454"/>
      <c r="BL117" s="1111"/>
      <c r="BM117" s="1111"/>
      <c r="BN117" s="1111"/>
      <c r="BO117" s="1111"/>
      <c r="BP117" s="1111"/>
      <c r="BQ117" s="1123"/>
      <c r="BR117" s="1111"/>
      <c r="BS117" s="1111"/>
      <c r="BT117" s="1111"/>
      <c r="BU117" s="1111"/>
      <c r="BV117" s="1111"/>
      <c r="BW117" s="1111"/>
      <c r="BX117" s="1111"/>
      <c r="BY117" s="1111"/>
      <c r="BZ117" s="1111"/>
      <c r="CA117" s="1111"/>
      <c r="CB117" s="1111"/>
      <c r="CC117" s="1111"/>
      <c r="CD117" s="1111"/>
      <c r="CE117" s="1111"/>
      <c r="CF117" s="1111"/>
      <c r="CG117" s="1111"/>
      <c r="CH117" s="1464"/>
    </row>
    <row r="118" spans="1:86" s="311" customFormat="1" ht="12" customHeight="1">
      <c r="A118" s="3173"/>
      <c r="B118" s="1262" t="s">
        <v>200</v>
      </c>
      <c r="C118" s="3292"/>
      <c r="D118" s="2496"/>
      <c r="E118" s="3293"/>
      <c r="F118" s="3500"/>
      <c r="G118" s="620" t="s">
        <v>1099</v>
      </c>
      <c r="H118" s="91" t="s">
        <v>91</v>
      </c>
      <c r="I118" s="2763" t="s">
        <v>700</v>
      </c>
      <c r="J118" s="2763" t="s">
        <v>585</v>
      </c>
      <c r="K118" s="2763" t="s">
        <v>123</v>
      </c>
      <c r="L118" s="3025" t="s">
        <v>64</v>
      </c>
      <c r="M118" s="91" t="s">
        <v>91</v>
      </c>
      <c r="N118" s="3127" t="s">
        <v>732</v>
      </c>
      <c r="O118" s="3127" t="s">
        <v>733</v>
      </c>
      <c r="P118" s="2763" t="s">
        <v>123</v>
      </c>
      <c r="Q118" s="3025" t="s">
        <v>64</v>
      </c>
      <c r="R118" s="273" t="s">
        <v>701</v>
      </c>
      <c r="S118" s="3425" t="str">
        <f>IF($K$7="BIO","ja/nein","")</f>
        <v/>
      </c>
      <c r="T118" s="2033" t="str">
        <f>IF($K$7="BIO","Nverf","")</f>
        <v/>
      </c>
      <c r="U118" s="2033" t="str">
        <f>IF($K$7="BIO","P2O5","")</f>
        <v/>
      </c>
      <c r="V118" s="2033"/>
      <c r="W118" s="2033"/>
      <c r="X118" s="2031"/>
      <c r="Y118" s="2031"/>
      <c r="Z118" s="9"/>
      <c r="AA118" s="345"/>
      <c r="AB118" s="1270" t="s">
        <v>188</v>
      </c>
      <c r="AC118" s="326"/>
      <c r="AD118" s="336"/>
      <c r="AE118" s="336"/>
      <c r="AF118" s="318"/>
      <c r="AG118" s="318"/>
      <c r="AH118" s="318"/>
      <c r="AI118" s="342"/>
      <c r="AJ118" s="342"/>
      <c r="AK118" s="342"/>
      <c r="AY118" s="1453" t="s">
        <v>1430</v>
      </c>
      <c r="BK118" s="1453"/>
      <c r="BL118" s="1109"/>
      <c r="BM118" s="1109"/>
      <c r="BN118" s="1109"/>
      <c r="BO118" s="1109"/>
      <c r="BP118" s="1109"/>
      <c r="BQ118" s="1123"/>
      <c r="BR118" s="1109"/>
      <c r="BS118" s="1109"/>
      <c r="BT118" s="1109"/>
      <c r="BU118" s="1109"/>
      <c r="BV118" s="1109"/>
      <c r="BW118" s="1109"/>
      <c r="BX118" s="1109"/>
      <c r="BY118" s="1109"/>
      <c r="BZ118" s="1109"/>
      <c r="CA118" s="1109"/>
      <c r="CB118" s="1109"/>
      <c r="CC118" s="1109"/>
      <c r="CD118" s="1109"/>
      <c r="CE118" s="1109"/>
      <c r="CF118" s="1109"/>
      <c r="CG118" s="1109"/>
      <c r="CH118" s="1456"/>
    </row>
    <row r="119" spans="1:86" s="311" customFormat="1" ht="12" customHeight="1">
      <c r="A119" s="3173"/>
      <c r="B119" s="3577"/>
      <c r="C119" s="3575"/>
      <c r="D119" s="3575"/>
      <c r="E119" s="3576"/>
      <c r="F119" s="161"/>
      <c r="G119" s="2217"/>
      <c r="H119" s="1722"/>
      <c r="I119" s="1293" t="str">
        <f>IF(ISNUMBER(H119),H119*H$154,"")</f>
        <v/>
      </c>
      <c r="J119" s="1722"/>
      <c r="K119" s="1722"/>
      <c r="L119" s="1722"/>
      <c r="M119" s="2177" t="str">
        <f>IF($G119=0,"",IF(H119="","Nges?",$G119*H119))</f>
        <v/>
      </c>
      <c r="N119" s="2177" t="str">
        <f t="shared" ref="N119:Q121" si="21">IF($G119=0,"",$G119*I119)</f>
        <v/>
      </c>
      <c r="O119" s="2177" t="str">
        <f t="shared" si="21"/>
        <v/>
      </c>
      <c r="P119" s="2177" t="str">
        <f t="shared" si="21"/>
        <v/>
      </c>
      <c r="Q119" s="2177" t="str">
        <f t="shared" si="21"/>
        <v/>
      </c>
      <c r="R119" s="2603"/>
      <c r="S119" s="3426"/>
      <c r="T119" s="2796" t="str">
        <f>IF(AND($K$7="BIO",$S119="",SUM(N119:Q119)&lt;&gt;0),"&lt;- Bio?",IF(AND($K$7="BIO",$S119="ja"),N119,""))</f>
        <v/>
      </c>
      <c r="U119" s="2032" t="str">
        <f t="shared" ref="T119:U121" si="22">IF(AND($K$7="BIO",$S119="ja"),O119,"")</f>
        <v/>
      </c>
      <c r="V119" s="2032"/>
      <c r="W119" s="2032"/>
      <c r="X119" s="2031"/>
      <c r="Y119" s="2031"/>
      <c r="Z119" s="9"/>
      <c r="AA119" s="344"/>
      <c r="AB119" s="959" t="s">
        <v>191</v>
      </c>
      <c r="AC119" s="318"/>
      <c r="AD119" s="336"/>
      <c r="AE119" s="306"/>
      <c r="AF119" s="306"/>
      <c r="AG119" s="318"/>
      <c r="AH119" s="318"/>
      <c r="AI119" s="318"/>
      <c r="AJ119" s="306"/>
      <c r="AK119" s="318"/>
      <c r="AY119" s="1453" t="s">
        <v>1430</v>
      </c>
      <c r="BK119" s="1453"/>
      <c r="BL119" s="1109"/>
      <c r="BM119" s="1109"/>
      <c r="BN119" s="1109"/>
      <c r="BO119" s="1109"/>
      <c r="BP119" s="1109"/>
      <c r="BQ119" s="1123"/>
      <c r="BR119" s="1109"/>
      <c r="BS119" s="1109"/>
      <c r="BT119" s="1109"/>
      <c r="BU119" s="1109"/>
      <c r="BV119" s="1109"/>
      <c r="BW119" s="1109"/>
      <c r="BX119" s="1109"/>
      <c r="BY119" s="1109"/>
      <c r="BZ119" s="1109"/>
      <c r="CA119" s="1109"/>
      <c r="CB119" s="1109"/>
      <c r="CC119" s="1109"/>
      <c r="CD119" s="1109"/>
      <c r="CE119" s="1109"/>
      <c r="CF119" s="1109"/>
      <c r="CG119" s="1109"/>
      <c r="CH119" s="1456"/>
    </row>
    <row r="120" spans="1:86" s="311" customFormat="1" ht="12" customHeight="1">
      <c r="A120" s="3173"/>
      <c r="B120" s="3493"/>
      <c r="C120" s="3494"/>
      <c r="D120" s="3494"/>
      <c r="E120" s="3495"/>
      <c r="F120" s="161"/>
      <c r="G120" s="2217"/>
      <c r="H120" s="1722"/>
      <c r="I120" s="1293" t="str">
        <f>IF(ISNUMBER(H120),H120*H$154,"")</f>
        <v/>
      </c>
      <c r="J120" s="1722"/>
      <c r="K120" s="1722"/>
      <c r="L120" s="1722"/>
      <c r="M120" s="2177" t="str">
        <f>IF($G120=0,"",IF(H120="","Nges?",$G120*H120))</f>
        <v/>
      </c>
      <c r="N120" s="2177" t="str">
        <f t="shared" si="21"/>
        <v/>
      </c>
      <c r="O120" s="2177" t="str">
        <f t="shared" si="21"/>
        <v/>
      </c>
      <c r="P120" s="2177" t="str">
        <f t="shared" si="21"/>
        <v/>
      </c>
      <c r="Q120" s="2177" t="str">
        <f t="shared" si="21"/>
        <v/>
      </c>
      <c r="R120" s="2603"/>
      <c r="S120" s="3426"/>
      <c r="T120" s="2796" t="str">
        <f>IF(AND($K$7="BIO",$S120="",SUM(N120:Q120)&lt;&gt;0),"&lt;- Bio?",IF(AND($K$7="BIO",$S120="ja"),N120,""))</f>
        <v/>
      </c>
      <c r="U120" s="2032" t="str">
        <f t="shared" si="22"/>
        <v/>
      </c>
      <c r="V120" s="2032"/>
      <c r="W120" s="2032"/>
      <c r="X120" s="2031"/>
      <c r="Y120" s="2031"/>
      <c r="Z120" s="9"/>
      <c r="AA120" s="319"/>
      <c r="AB120" s="959" t="s">
        <v>189</v>
      </c>
      <c r="AC120" s="306"/>
      <c r="AD120" s="318"/>
      <c r="AE120" s="318"/>
      <c r="AF120" s="306"/>
      <c r="AG120" s="318"/>
      <c r="AH120" s="318"/>
      <c r="AI120" s="319"/>
      <c r="AJ120" s="318"/>
      <c r="AK120" s="318"/>
      <c r="AY120" s="1453" t="s">
        <v>1430</v>
      </c>
      <c r="BK120" s="1453"/>
      <c r="BL120" s="1109"/>
      <c r="BM120" s="1109"/>
      <c r="BN120" s="1109"/>
      <c r="BO120" s="1109"/>
      <c r="BP120" s="1109"/>
      <c r="BQ120" s="1123"/>
      <c r="BR120" s="1109"/>
      <c r="BS120" s="1109"/>
      <c r="BT120" s="1109"/>
      <c r="BU120" s="1109"/>
      <c r="BV120" s="1109"/>
      <c r="BW120" s="1109"/>
      <c r="BX120" s="1109"/>
      <c r="BY120" s="1109"/>
      <c r="BZ120" s="1109"/>
      <c r="CA120" s="1109"/>
      <c r="CB120" s="1109"/>
      <c r="CC120" s="1109"/>
      <c r="CD120" s="1109"/>
      <c r="CE120" s="1109"/>
      <c r="CF120" s="1109"/>
      <c r="CG120" s="1109"/>
      <c r="CH120" s="1456"/>
    </row>
    <row r="121" spans="1:86" s="311" customFormat="1" ht="12" hidden="1" customHeight="1">
      <c r="A121" s="3173"/>
      <c r="B121" s="3493"/>
      <c r="C121" s="3494"/>
      <c r="D121" s="3494"/>
      <c r="E121" s="3495"/>
      <c r="F121" s="161"/>
      <c r="G121" s="2217"/>
      <c r="H121" s="317"/>
      <c r="I121" s="1293" t="str">
        <f>IF(ISNUMBER(H121),H121*H$154,"")</f>
        <v/>
      </c>
      <c r="J121" s="317"/>
      <c r="K121" s="317"/>
      <c r="L121" s="317"/>
      <c r="M121" s="2177" t="str">
        <f>IF($G121=0,"",IF(H121="","Nges?",$G121*H121))</f>
        <v/>
      </c>
      <c r="N121" s="2177" t="str">
        <f t="shared" si="21"/>
        <v/>
      </c>
      <c r="O121" s="2177" t="str">
        <f t="shared" si="21"/>
        <v/>
      </c>
      <c r="P121" s="2177" t="str">
        <f t="shared" si="21"/>
        <v/>
      </c>
      <c r="Q121" s="2177" t="str">
        <f t="shared" si="21"/>
        <v/>
      </c>
      <c r="R121" s="2603"/>
      <c r="S121" s="3426"/>
      <c r="T121" s="2032" t="str">
        <f t="shared" si="22"/>
        <v/>
      </c>
      <c r="U121" s="2032" t="str">
        <f t="shared" si="22"/>
        <v/>
      </c>
      <c r="V121" s="2032"/>
      <c r="W121" s="2032"/>
      <c r="X121" s="2031"/>
      <c r="Y121" s="2031"/>
      <c r="Z121" s="9"/>
      <c r="AA121" s="2054"/>
      <c r="AB121" s="306"/>
      <c r="AC121" s="306"/>
      <c r="AD121" s="306"/>
      <c r="AE121" s="306"/>
      <c r="AF121" s="318"/>
      <c r="AG121" s="318"/>
      <c r="AH121" s="318"/>
      <c r="AI121" s="318"/>
      <c r="AJ121" s="318"/>
      <c r="AK121" s="318"/>
      <c r="AY121" s="1453" t="s">
        <v>1430</v>
      </c>
      <c r="BK121" s="1453"/>
      <c r="BL121" s="1109"/>
      <c r="BM121" s="1109"/>
      <c r="BN121" s="1109"/>
      <c r="BO121" s="1109"/>
      <c r="BP121" s="1109"/>
      <c r="BQ121" s="1123"/>
      <c r="BR121" s="1109"/>
      <c r="BS121" s="1109"/>
      <c r="BT121" s="1109"/>
      <c r="BU121" s="1109"/>
      <c r="BV121" s="1109"/>
      <c r="BW121" s="1109"/>
      <c r="BX121" s="1109"/>
      <c r="BY121" s="1109"/>
      <c r="BZ121" s="1109"/>
      <c r="CA121" s="1109"/>
      <c r="CB121" s="1109"/>
      <c r="CC121" s="1109"/>
      <c r="CD121" s="1109"/>
      <c r="CE121" s="1109"/>
      <c r="CF121" s="1109"/>
      <c r="CG121" s="1109"/>
      <c r="CH121" s="1456"/>
    </row>
    <row r="122" spans="1:86" s="311" customFormat="1" ht="12" customHeight="1">
      <c r="A122" s="3173"/>
      <c r="B122" s="3075"/>
      <c r="C122" s="3075"/>
      <c r="D122" s="3075"/>
      <c r="E122" s="3075"/>
      <c r="F122" s="3075"/>
      <c r="G122" s="3075"/>
      <c r="H122" s="3075"/>
      <c r="I122" s="3075"/>
      <c r="J122" s="3075"/>
      <c r="K122" s="3075"/>
      <c r="L122" s="3137" t="s">
        <v>707</v>
      </c>
      <c r="M122" s="2167">
        <f>SUM(M119:M121)</f>
        <v>0</v>
      </c>
      <c r="N122" s="2167">
        <f>SUM(N119:N121)</f>
        <v>0</v>
      </c>
      <c r="O122" s="2167">
        <f>SUM(O119:O121)</f>
        <v>0</v>
      </c>
      <c r="P122" s="2167">
        <f>SUM(P119:P121)</f>
        <v>0</v>
      </c>
      <c r="Q122" s="2168">
        <f>SUM(Q119:Q121)</f>
        <v>0</v>
      </c>
      <c r="R122" s="2218">
        <f>SUMIF(R119:R121,"ja",M119:M121)</f>
        <v>0</v>
      </c>
      <c r="S122" s="3427" t="str">
        <f>IF($K$7="BIO","Bio-Hd.","")</f>
        <v/>
      </c>
      <c r="T122" s="2795" t="str">
        <f>IF($K$7="BIO",SUM(T119:T121)+SUMIFS(T133:T137,$R133:$R137,"HoDü",$S133:$S137,"ja")+SUMIFS(T140:T142,$R140:$R142,"HoDü",$S140:$S142,"ja"),"")</f>
        <v/>
      </c>
      <c r="U122" s="2034" t="str">
        <f>IF($K$7="BIO",SUM(U119:U121)+SUMIFS(U133:U137,$R133:$R137,"HoDü",$S133:$S137,"ja")+SUMIFS(U140:U142,$R140:$R142,"HoDü",$S140:$S142,"ja"),"")</f>
        <v/>
      </c>
      <c r="V122" s="2031" t="str">
        <f>IF($K$7="BIO"," =  Summe Zu-/Wegfuhr von 'Bio-Hofdünger' (kg)","")</f>
        <v/>
      </c>
      <c r="W122" s="2034"/>
      <c r="Y122" s="2031"/>
      <c r="Z122" s="9"/>
      <c r="AA122" s="2054" t="str">
        <f xml:space="preserve"> Daten!E505</f>
        <v xml:space="preserve">  </v>
      </c>
      <c r="AB122" s="319"/>
      <c r="AC122" s="306"/>
      <c r="AD122" s="306"/>
      <c r="AE122" s="306"/>
      <c r="AF122" s="306"/>
      <c r="AG122" s="306"/>
      <c r="AH122" s="318"/>
      <c r="AI122" s="318"/>
      <c r="AJ122" s="318"/>
      <c r="AK122" s="318"/>
      <c r="AY122" s="1453" t="s">
        <v>1430</v>
      </c>
      <c r="BK122" s="1453"/>
      <c r="BL122" s="1109"/>
      <c r="BM122" s="1109"/>
      <c r="BN122" s="1109"/>
      <c r="BO122" s="1109"/>
      <c r="BP122" s="1109"/>
      <c r="BQ122" s="1123"/>
      <c r="BR122" s="1109"/>
      <c r="BS122" s="1109"/>
      <c r="BT122" s="1109"/>
      <c r="BU122" s="1109"/>
      <c r="BV122" s="1109"/>
      <c r="BW122" s="1109"/>
      <c r="BX122" s="1109"/>
      <c r="BY122" s="1109"/>
      <c r="BZ122" s="1109"/>
      <c r="CA122" s="1109"/>
      <c r="CB122" s="1109"/>
      <c r="CC122" s="1109"/>
      <c r="CD122" s="1109"/>
      <c r="CE122" s="1109"/>
      <c r="CF122" s="1109"/>
      <c r="CG122" s="1109"/>
      <c r="CH122" s="1456"/>
    </row>
    <row r="123" spans="1:86" s="311" customFormat="1" ht="11.1" customHeight="1">
      <c r="A123" s="3359"/>
      <c r="B123" s="3077"/>
      <c r="C123" s="3075"/>
      <c r="D123" s="3075"/>
      <c r="E123" s="3075"/>
      <c r="F123" s="3214"/>
      <c r="G123" s="3155"/>
      <c r="H123" s="3251"/>
      <c r="I123" s="3294"/>
      <c r="J123" s="3294"/>
      <c r="K123" s="2972"/>
      <c r="L123" s="2972"/>
      <c r="M123" s="2966"/>
      <c r="N123" s="2966"/>
      <c r="O123" s="2966"/>
      <c r="P123" s="3295"/>
      <c r="Q123" s="3296" t="str">
        <f>IF(-R122&gt;R35,"VM-Nges-Wegfuhr höher als Anfall (V1)-&gt; überprüfen","")</f>
        <v/>
      </c>
      <c r="R123" s="17" t="s">
        <v>137</v>
      </c>
      <c r="S123" s="3428" t="str">
        <f>IF($K$7="BIO","Nicht-Bio-Hd.","")</f>
        <v/>
      </c>
      <c r="T123" s="2035" t="str">
        <f>IF($K$7="BIO",N122-SUM(T119:T121)+SUMIFS(N133:N137,$R133:$R137,"HoDü",$S133:$S137,"&lt;&gt;ja")+SUMIFS(N140:N142,$R140:$R142,"HoDü",$S140:$S142,"&lt;&gt;ja"),"")</f>
        <v/>
      </c>
      <c r="U123" s="2036" t="str">
        <f>IF($K$7="BIO",O122-SUM(U119:U121)+SUMIFS(O133:O137,$R133:$R137,"HoDü",$S133:$S137,"&lt;&gt;ja")+SUMIFS(O140:O142,$R140:$R142,"HoDü",$S140:$S142,"&lt;&gt;ja"),"")</f>
        <v/>
      </c>
      <c r="V123" s="9" t="str">
        <f>IF($K$7="BIO"," =  Summe Zu-/Wegfuhr von 'Nicht-Bio-Hofdünger' (kg)","")</f>
        <v/>
      </c>
      <c r="W123" s="2036"/>
      <c r="Y123" s="9"/>
      <c r="Z123" s="9"/>
      <c r="AA123" s="2053" t="s">
        <v>1483</v>
      </c>
      <c r="AB123" s="1281"/>
      <c r="AC123" s="4"/>
      <c r="AD123" s="4"/>
      <c r="AE123" s="4"/>
      <c r="AF123" s="4"/>
      <c r="AG123" s="4"/>
      <c r="AH123" s="318"/>
      <c r="AI123" s="318"/>
      <c r="AJ123" s="318"/>
      <c r="AK123" s="318"/>
      <c r="AY123" s="1453" t="s">
        <v>1430</v>
      </c>
      <c r="BK123" s="1453"/>
      <c r="BL123" s="1109"/>
      <c r="BM123" s="1109"/>
      <c r="BN123" s="1109"/>
      <c r="BO123" s="1109"/>
      <c r="BP123" s="1109"/>
      <c r="BQ123" s="1123"/>
      <c r="BR123" s="1109"/>
      <c r="BS123" s="1109"/>
      <c r="BT123" s="1109"/>
      <c r="BU123" s="1109"/>
      <c r="BV123" s="1109"/>
      <c r="BW123" s="1109"/>
      <c r="BX123" s="1109"/>
      <c r="BY123" s="1109"/>
      <c r="BZ123" s="1109"/>
      <c r="CA123" s="1109"/>
      <c r="CB123" s="1109"/>
      <c r="CC123" s="1109"/>
      <c r="CD123" s="1109"/>
      <c r="CE123" s="1109"/>
      <c r="CF123" s="1109"/>
      <c r="CG123" s="1109"/>
      <c r="CH123" s="1456"/>
    </row>
    <row r="124" spans="1:86" s="311" customFormat="1" ht="2.25" customHeight="1">
      <c r="A124" s="3173"/>
      <c r="B124" s="3291"/>
      <c r="C124" s="3199"/>
      <c r="D124" s="3199"/>
      <c r="E124" s="3199"/>
      <c r="F124" s="3214"/>
      <c r="G124" s="3297"/>
      <c r="H124" s="3298"/>
      <c r="I124" s="3299"/>
      <c r="J124" s="3299"/>
      <c r="K124" s="3300"/>
      <c r="L124" s="3300"/>
      <c r="M124" s="2966"/>
      <c r="N124" s="3269"/>
      <c r="O124" s="3269"/>
      <c r="P124" s="3301"/>
      <c r="Q124" s="3295"/>
      <c r="R124" s="3214"/>
      <c r="S124" s="3428"/>
      <c r="T124" s="9"/>
      <c r="U124" s="9"/>
      <c r="V124" s="9"/>
      <c r="W124" s="9"/>
      <c r="X124" s="9"/>
      <c r="Y124" s="9"/>
      <c r="Z124" s="9"/>
      <c r="AA124"/>
      <c r="AB124"/>
      <c r="AC124" s="4"/>
      <c r="AD124" s="4"/>
      <c r="AE124" s="4"/>
      <c r="AF124" s="4"/>
      <c r="AG124" s="4"/>
      <c r="AH124" s="318"/>
      <c r="AI124" s="318"/>
      <c r="AJ124" s="318"/>
      <c r="AK124" s="318"/>
      <c r="AY124" s="1453" t="s">
        <v>1430</v>
      </c>
      <c r="BK124" s="1453"/>
      <c r="BL124" s="1109"/>
      <c r="BM124" s="1109"/>
      <c r="BN124" s="1109"/>
      <c r="BO124" s="1109"/>
      <c r="BP124" s="1109"/>
      <c r="BQ124" s="1123"/>
      <c r="BR124" s="1109"/>
      <c r="BS124" s="1109"/>
      <c r="BT124" s="1109"/>
      <c r="BU124" s="1109"/>
      <c r="BV124" s="1109"/>
      <c r="BW124" s="1109"/>
      <c r="BX124" s="1109"/>
      <c r="BY124" s="1109"/>
      <c r="BZ124" s="1109"/>
      <c r="CA124" s="1109"/>
      <c r="CB124" s="1109"/>
      <c r="CC124" s="1109"/>
      <c r="CD124" s="1109"/>
      <c r="CE124" s="1109"/>
      <c r="CF124" s="1109"/>
      <c r="CG124" s="1109"/>
      <c r="CH124" s="1456"/>
    </row>
    <row r="125" spans="1:86" s="311" customFormat="1" ht="12" customHeight="1">
      <c r="A125" s="3173"/>
      <c r="B125" s="127" t="s">
        <v>708</v>
      </c>
      <c r="C125" s="2812"/>
      <c r="D125" s="2812"/>
      <c r="E125" s="43"/>
      <c r="F125" s="15" t="s">
        <v>709</v>
      </c>
      <c r="G125" s="2217">
        <v>0</v>
      </c>
      <c r="H125" s="295"/>
      <c r="I125" s="294">
        <v>0</v>
      </c>
      <c r="J125" s="294">
        <v>1.9</v>
      </c>
      <c r="K125" s="294">
        <v>7.9</v>
      </c>
      <c r="L125" s="284">
        <v>1.1000000000000001</v>
      </c>
      <c r="M125" s="436"/>
      <c r="N125" s="2219" t="str">
        <f t="shared" ref="N125:Q130" si="23">IF($G125=0,"",$G125*I125)</f>
        <v/>
      </c>
      <c r="O125" s="2219" t="str">
        <f t="shared" si="23"/>
        <v/>
      </c>
      <c r="P125" s="2219" t="str">
        <f t="shared" si="23"/>
        <v/>
      </c>
      <c r="Q125" s="2219" t="str">
        <f t="shared" si="23"/>
        <v/>
      </c>
      <c r="R125" s="3429"/>
      <c r="S125" s="3430" t="str">
        <f>IF($K$7="BIO","Hd.","")</f>
        <v/>
      </c>
      <c r="T125" s="2029" t="str">
        <f>IF(AND($K$7="BIO",M109&gt;0,T123&lt;&gt;""),T123/J157,"")</f>
        <v/>
      </c>
      <c r="U125" s="2028" t="str">
        <f>IF(AND($K$7="BIO",N109&gt;0,U123&lt;&gt;""),U123/K157,"")</f>
        <v/>
      </c>
      <c r="V125" s="9" t="str">
        <f>IF(AND($K$7="BIO",SUM(N122:O122)&lt;&gt;0,SUM(M109:N109)&gt;0)," =  Anteile 'Nicht-Bio-Hofdünger' am Bedarf (C)","")</f>
        <v/>
      </c>
      <c r="W125" s="2028"/>
      <c r="Y125" s="9"/>
      <c r="Z125" s="9"/>
      <c r="AA125" s="1275"/>
      <c r="AB125" s="1274" t="s">
        <v>1846</v>
      </c>
      <c r="AC125" s="4"/>
      <c r="AD125" s="4"/>
      <c r="AE125" s="4"/>
      <c r="AF125" s="4"/>
      <c r="AG125" s="4"/>
      <c r="AH125" s="318"/>
      <c r="AI125" s="318"/>
      <c r="AJ125" s="318"/>
      <c r="AK125" s="318"/>
      <c r="AY125" s="1453" t="s">
        <v>1430</v>
      </c>
      <c r="BK125" s="1453"/>
      <c r="BL125" s="1109"/>
      <c r="BM125" s="1109"/>
      <c r="BN125" s="1109"/>
      <c r="BO125" s="1109"/>
      <c r="BP125" s="1109"/>
      <c r="BQ125" s="1123"/>
      <c r="BR125" s="1109"/>
      <c r="BS125" s="1109"/>
      <c r="BT125" s="1109"/>
      <c r="BU125" s="1109"/>
      <c r="BV125" s="1109"/>
      <c r="BW125" s="1109"/>
      <c r="BX125" s="1109"/>
      <c r="BY125" s="1109"/>
      <c r="BZ125" s="1109"/>
      <c r="CA125" s="1109"/>
      <c r="CB125" s="1109"/>
      <c r="CC125" s="1109"/>
      <c r="CD125" s="1109"/>
      <c r="CE125" s="1109"/>
      <c r="CF125" s="1109"/>
      <c r="CG125" s="1109"/>
      <c r="CH125" s="1456"/>
    </row>
    <row r="126" spans="1:86" s="311" customFormat="1" ht="12" customHeight="1">
      <c r="A126" s="3136" t="s">
        <v>1886</v>
      </c>
      <c r="B126" s="127" t="s">
        <v>1884</v>
      </c>
      <c r="C126" s="2805"/>
      <c r="D126" s="2805"/>
      <c r="E126" s="2805"/>
      <c r="F126" s="15"/>
      <c r="G126" s="2217">
        <v>0</v>
      </c>
      <c r="H126" s="433" t="s">
        <v>1885</v>
      </c>
      <c r="I126" s="294">
        <v>6</v>
      </c>
      <c r="J126" s="1269" t="s">
        <v>1887</v>
      </c>
      <c r="K126" s="2805"/>
      <c r="L126" s="602"/>
      <c r="M126" s="2929"/>
      <c r="N126" s="2219" t="str">
        <f t="shared" si="23"/>
        <v/>
      </c>
      <c r="O126" s="2219"/>
      <c r="P126" s="2219"/>
      <c r="Q126" s="2219"/>
      <c r="R126" s="3429"/>
      <c r="S126" s="3184"/>
      <c r="T126" s="2037" t="str">
        <f>IF(AND($K$7="BIO",SUM(N122:O122)&lt;&gt;0,OR(AND(T125&lt;100000,T125&gt;0.5),AND(U125&lt;100000,U125&gt;0.5)),SUM(M109:N109)&lt;&gt;0),"BIO-Achtung: über 50% !","" )</f>
        <v/>
      </c>
      <c r="U126" s="9"/>
      <c r="V126" s="9"/>
      <c r="W126" s="9"/>
      <c r="X126" s="9"/>
      <c r="Y126" s="9"/>
      <c r="Z126" s="9"/>
      <c r="AA126" s="4"/>
      <c r="AB126" s="1282" t="s">
        <v>1921</v>
      </c>
      <c r="AC126" s="1283"/>
      <c r="AD126" s="1283"/>
      <c r="AE126" s="1283"/>
      <c r="AF126" s="1283"/>
      <c r="AG126" s="1283"/>
      <c r="AH126" s="318"/>
      <c r="AI126" s="318"/>
      <c r="AJ126" s="318"/>
      <c r="AK126" s="318"/>
      <c r="AY126" s="1453" t="s">
        <v>1430</v>
      </c>
      <c r="BK126" s="1453"/>
      <c r="BL126" s="1109"/>
      <c r="BM126" s="1109"/>
      <c r="BN126" s="1109"/>
      <c r="BO126" s="1109"/>
      <c r="BP126" s="1109"/>
      <c r="BQ126" s="1123"/>
      <c r="BR126" s="1109"/>
      <c r="BS126" s="1109"/>
      <c r="BT126" s="1109"/>
      <c r="BU126" s="1109"/>
      <c r="BV126" s="1109"/>
      <c r="BW126" s="1109"/>
      <c r="BX126" s="1109"/>
      <c r="BY126" s="1109"/>
      <c r="BZ126" s="1109"/>
      <c r="CA126" s="1109"/>
      <c r="CB126" s="1109"/>
      <c r="CC126" s="1109"/>
      <c r="CD126" s="1109"/>
      <c r="CE126" s="1109"/>
      <c r="CF126" s="1109"/>
      <c r="CG126" s="1109"/>
      <c r="CH126" s="1456"/>
    </row>
    <row r="127" spans="1:86" s="311" customFormat="1" ht="12" hidden="1" customHeight="1">
      <c r="A127" s="2672"/>
      <c r="B127" s="1993" t="s">
        <v>749</v>
      </c>
      <c r="C127" s="3503"/>
      <c r="D127" s="3503"/>
      <c r="E127" s="3504"/>
      <c r="F127" s="161" t="s">
        <v>892</v>
      </c>
      <c r="G127" s="2217">
        <v>0</v>
      </c>
      <c r="H127" s="1722">
        <v>7</v>
      </c>
      <c r="I127" s="294">
        <f>H127*0.1</f>
        <v>0.70000000000000007</v>
      </c>
      <c r="J127" s="1722">
        <v>3</v>
      </c>
      <c r="K127" s="1722">
        <v>5</v>
      </c>
      <c r="L127" s="1722">
        <v>2.5</v>
      </c>
      <c r="M127" s="2929"/>
      <c r="N127" s="2219" t="str">
        <f t="shared" ref="N127:Q128" si="24">IF($G127=0,"",$G127*I127)</f>
        <v/>
      </c>
      <c r="O127" s="2219" t="str">
        <f t="shared" si="24"/>
        <v/>
      </c>
      <c r="P127" s="2219" t="str">
        <f t="shared" si="24"/>
        <v/>
      </c>
      <c r="Q127" s="2219" t="str">
        <f t="shared" si="24"/>
        <v/>
      </c>
      <c r="R127" s="3429"/>
      <c r="S127" s="3184"/>
      <c r="T127" s="9"/>
      <c r="U127" s="9"/>
      <c r="V127" s="9"/>
      <c r="W127" s="9"/>
      <c r="X127" s="9"/>
      <c r="Y127" s="9"/>
      <c r="Z127" s="9" t="s">
        <v>578</v>
      </c>
      <c r="AA127" s="4"/>
      <c r="AB127" s="1282"/>
      <c r="AC127" s="1283"/>
      <c r="AD127" s="1283"/>
      <c r="AE127" s="1283"/>
      <c r="AF127" s="1283"/>
      <c r="AG127" s="1283"/>
      <c r="AH127" s="318"/>
      <c r="AI127" s="318"/>
      <c r="AJ127" s="318"/>
      <c r="AK127" s="318"/>
      <c r="AY127" s="1453"/>
      <c r="BK127" s="1453"/>
      <c r="BL127" s="1109"/>
      <c r="BM127" s="1109"/>
      <c r="BN127" s="1109"/>
      <c r="BO127" s="1109"/>
      <c r="BP127" s="1109"/>
      <c r="BQ127" s="1123"/>
      <c r="BR127" s="1109"/>
      <c r="BS127" s="1109"/>
      <c r="BT127" s="1109"/>
      <c r="BU127" s="1109"/>
      <c r="BV127" s="1109"/>
      <c r="BW127" s="1109"/>
      <c r="BX127" s="1109"/>
      <c r="BY127" s="1109"/>
      <c r="BZ127" s="1109"/>
      <c r="CA127" s="1109"/>
      <c r="CB127" s="1109"/>
      <c r="CC127" s="1109"/>
      <c r="CD127" s="1109"/>
      <c r="CE127" s="1109"/>
      <c r="CF127" s="1109"/>
      <c r="CG127" s="1109"/>
      <c r="CH127" s="1456"/>
    </row>
    <row r="128" spans="1:86" s="311" customFormat="1" ht="12" hidden="1" customHeight="1">
      <c r="A128" s="3173"/>
      <c r="B128" s="3518" t="s">
        <v>577</v>
      </c>
      <c r="C128" s="3519"/>
      <c r="D128" s="3575"/>
      <c r="E128" s="3576"/>
      <c r="F128" s="161" t="s">
        <v>584</v>
      </c>
      <c r="G128" s="2217">
        <v>0</v>
      </c>
      <c r="H128" s="1722"/>
      <c r="I128" s="600" t="str">
        <f>IF(ISNUMBER(H128),0.7*H128,"")</f>
        <v/>
      </c>
      <c r="J128" s="1722"/>
      <c r="K128" s="1722"/>
      <c r="L128" s="1722"/>
      <c r="M128" s="2929"/>
      <c r="N128" s="2219" t="str">
        <f t="shared" si="24"/>
        <v/>
      </c>
      <c r="O128" s="2219" t="str">
        <f t="shared" si="24"/>
        <v/>
      </c>
      <c r="P128" s="2219" t="str">
        <f t="shared" si="24"/>
        <v/>
      </c>
      <c r="Q128" s="2219" t="str">
        <f t="shared" si="24"/>
        <v/>
      </c>
      <c r="R128" s="3429"/>
      <c r="S128" s="3184"/>
      <c r="T128" s="9"/>
      <c r="U128" s="9"/>
      <c r="V128" s="9"/>
      <c r="W128" s="9"/>
      <c r="X128" s="9"/>
      <c r="Y128" s="9"/>
      <c r="Z128" s="9" t="s">
        <v>578</v>
      </c>
      <c r="AA128" s="4"/>
      <c r="AB128" s="1282"/>
      <c r="AC128" s="1283"/>
      <c r="AD128" s="1283"/>
      <c r="AE128" s="1283"/>
      <c r="AF128" s="1283"/>
      <c r="AG128" s="1283"/>
      <c r="AH128" s="318"/>
      <c r="AI128" s="318"/>
      <c r="AJ128" s="318"/>
      <c r="AK128" s="318"/>
      <c r="AY128" s="1453"/>
      <c r="BK128" s="1453"/>
      <c r="BL128" s="1109"/>
      <c r="BM128" s="1109"/>
      <c r="BN128" s="1109"/>
      <c r="BO128" s="1109"/>
      <c r="BP128" s="1109"/>
      <c r="BQ128" s="1123"/>
      <c r="BR128" s="1109"/>
      <c r="BS128" s="1109"/>
      <c r="BT128" s="1109"/>
      <c r="BU128" s="1109"/>
      <c r="BV128" s="1109"/>
      <c r="BW128" s="1109"/>
      <c r="BX128" s="1109"/>
      <c r="BY128" s="1109"/>
      <c r="BZ128" s="1109"/>
      <c r="CA128" s="1109"/>
      <c r="CB128" s="1109"/>
      <c r="CC128" s="1109"/>
      <c r="CD128" s="1109"/>
      <c r="CE128" s="1109"/>
      <c r="CF128" s="1109"/>
      <c r="CG128" s="1109"/>
      <c r="CH128" s="1456"/>
    </row>
    <row r="129" spans="1:86" s="311" customFormat="1" ht="12" customHeight="1">
      <c r="A129" s="3173"/>
      <c r="B129" s="3496" t="str">
        <f>IF(K7="Bio",""," Ammonsalpeter 27% N")</f>
        <v xml:space="preserve"> Ammonsalpeter 27% N</v>
      </c>
      <c r="C129" s="3497"/>
      <c r="D129" s="3497"/>
      <c r="E129" s="3498"/>
      <c r="F129" s="161" t="s">
        <v>584</v>
      </c>
      <c r="G129" s="2217">
        <v>0</v>
      </c>
      <c r="H129" s="296"/>
      <c r="I129" s="163">
        <v>27</v>
      </c>
      <c r="J129" s="163"/>
      <c r="K129" s="163"/>
      <c r="L129" s="163"/>
      <c r="M129" s="429"/>
      <c r="N129" s="2219" t="str">
        <f t="shared" si="23"/>
        <v/>
      </c>
      <c r="O129" s="2219" t="str">
        <f t="shared" si="23"/>
        <v/>
      </c>
      <c r="P129" s="2219" t="str">
        <f t="shared" si="23"/>
        <v/>
      </c>
      <c r="Q129" s="2219" t="str">
        <f t="shared" si="23"/>
        <v/>
      </c>
      <c r="R129" s="3431"/>
      <c r="S129" s="3184" t="s">
        <v>79</v>
      </c>
      <c r="T129" s="9"/>
      <c r="U129" s="9"/>
      <c r="V129" s="9"/>
      <c r="W129" s="9"/>
      <c r="X129" s="9"/>
      <c r="Y129" s="9"/>
      <c r="Z129" s="9"/>
      <c r="AA129" s="1284"/>
      <c r="AB129" s="1285" t="s">
        <v>1920</v>
      </c>
      <c r="AC129" s="1286"/>
      <c r="AD129" s="1286"/>
      <c r="AE129" s="1279"/>
      <c r="AF129" s="1279"/>
      <c r="AG129" s="1279"/>
      <c r="AH129" s="336"/>
      <c r="AI129" s="318"/>
      <c r="AJ129" s="318"/>
      <c r="AK129" s="318"/>
      <c r="AY129" s="1453" t="s">
        <v>1430</v>
      </c>
      <c r="BK129" s="1453"/>
      <c r="BL129" s="1109"/>
      <c r="BM129" s="1109"/>
      <c r="BN129" s="1109"/>
      <c r="BO129" s="1109"/>
      <c r="BP129" s="1109"/>
      <c r="BQ129" s="1123"/>
      <c r="BR129" s="1109"/>
      <c r="BS129" s="1109"/>
      <c r="BT129" s="1109"/>
      <c r="BU129" s="1109"/>
      <c r="BV129" s="1109"/>
      <c r="BW129" s="1109"/>
      <c r="BX129" s="1109"/>
      <c r="BY129" s="1109"/>
      <c r="BZ129" s="1109"/>
      <c r="CA129" s="1109"/>
      <c r="CB129" s="1109"/>
      <c r="CC129" s="1109"/>
      <c r="CD129" s="1109"/>
      <c r="CE129" s="1109"/>
      <c r="CF129" s="1109"/>
      <c r="CG129" s="1109"/>
      <c r="CH129" s="1456"/>
    </row>
    <row r="130" spans="1:86" s="311" customFormat="1" ht="12" customHeight="1">
      <c r="A130" s="3173"/>
      <c r="B130" s="3496"/>
      <c r="C130" s="3497"/>
      <c r="D130" s="3497"/>
      <c r="E130" s="3498"/>
      <c r="F130" s="161"/>
      <c r="G130" s="2217"/>
      <c r="H130" s="296"/>
      <c r="I130" s="163"/>
      <c r="J130" s="163"/>
      <c r="K130" s="163"/>
      <c r="L130" s="163"/>
      <c r="M130" s="437"/>
      <c r="N130" s="2219" t="str">
        <f t="shared" si="23"/>
        <v/>
      </c>
      <c r="O130" s="2219" t="str">
        <f t="shared" si="23"/>
        <v/>
      </c>
      <c r="P130" s="2219" t="str">
        <f t="shared" si="23"/>
        <v/>
      </c>
      <c r="Q130" s="2219" t="str">
        <f t="shared" si="23"/>
        <v/>
      </c>
      <c r="R130" s="3431"/>
      <c r="S130" s="3184" t="s">
        <v>79</v>
      </c>
      <c r="T130" s="9"/>
      <c r="U130" s="9"/>
      <c r="V130" s="9"/>
      <c r="W130" s="9"/>
      <c r="X130" s="9"/>
      <c r="Y130" s="9"/>
      <c r="Z130" s="9"/>
      <c r="AA130" s="1273" t="s">
        <v>1482</v>
      </c>
      <c r="AB130" s="3"/>
      <c r="AC130"/>
      <c r="AD130"/>
      <c r="AE130" s="1283"/>
      <c r="AF130" s="1283"/>
      <c r="AG130" s="1283"/>
      <c r="AH130" s="318"/>
      <c r="AI130" s="318"/>
      <c r="AJ130" s="318"/>
      <c r="AK130" s="318"/>
      <c r="AY130" s="1453" t="s">
        <v>1430</v>
      </c>
      <c r="BK130" s="1453"/>
      <c r="BL130" s="1109"/>
      <c r="BM130" s="1109"/>
      <c r="BN130" s="1109"/>
      <c r="BO130" s="1109"/>
      <c r="BP130" s="1109"/>
      <c r="BQ130" s="1123"/>
      <c r="BR130" s="1109"/>
      <c r="BS130" s="1109"/>
      <c r="BT130" s="1109"/>
      <c r="BU130" s="1109"/>
      <c r="BV130" s="1109"/>
      <c r="BW130" s="1109"/>
      <c r="BX130" s="1109"/>
      <c r="BY130" s="1109"/>
      <c r="BZ130" s="1109"/>
      <c r="CA130" s="1109"/>
      <c r="CB130" s="1109"/>
      <c r="CC130" s="1109"/>
      <c r="CD130" s="1109"/>
      <c r="CE130" s="1109"/>
      <c r="CF130" s="1109"/>
      <c r="CG130" s="1109"/>
      <c r="CH130" s="1456"/>
    </row>
    <row r="131" spans="1:86" s="311" customFormat="1" ht="12" customHeight="1">
      <c r="A131" s="2672"/>
      <c r="B131" s="3107"/>
      <c r="C131" s="2929"/>
      <c r="D131" s="2929"/>
      <c r="E131" s="2929"/>
      <c r="F131" s="2929"/>
      <c r="G131" s="3179"/>
      <c r="H131" s="3302"/>
      <c r="I131" s="2929"/>
      <c r="J131" s="2929"/>
      <c r="K131" s="2929"/>
      <c r="L131" s="3179" t="s">
        <v>713</v>
      </c>
      <c r="M131" s="2929"/>
      <c r="N131" s="2220">
        <f>SUM(N125:N130)</f>
        <v>0</v>
      </c>
      <c r="O131" s="2220">
        <f>SUM(O125:O130)</f>
        <v>0</v>
      </c>
      <c r="P131" s="2220">
        <f>SUM(P125:P130)</f>
        <v>0</v>
      </c>
      <c r="Q131" s="2220">
        <f>SUM(Q125:Q130)</f>
        <v>0</v>
      </c>
      <c r="R131" s="3432"/>
      <c r="S131" s="3424" t="str">
        <f>IF($K$7="BIO","   BIO","")</f>
        <v/>
      </c>
      <c r="T131" s="9"/>
      <c r="U131" s="9"/>
      <c r="V131" s="9"/>
      <c r="W131" s="9"/>
      <c r="X131" s="9"/>
      <c r="Y131" s="9"/>
      <c r="Z131" s="9"/>
      <c r="AA131" s="2749" t="s">
        <v>1853</v>
      </c>
      <c r="AB131" s="3"/>
      <c r="AC131"/>
      <c r="AD131"/>
      <c r="AE131" s="1283"/>
      <c r="AF131" s="1283"/>
      <c r="AG131" s="1283"/>
      <c r="AH131" s="318"/>
      <c r="AI131" s="318"/>
      <c r="AJ131" s="318"/>
      <c r="AK131" s="318"/>
      <c r="AY131" s="1453" t="s">
        <v>1430</v>
      </c>
      <c r="BK131" s="1453"/>
      <c r="BL131" s="1109"/>
      <c r="BM131" s="1109"/>
      <c r="BN131" s="1109"/>
      <c r="BO131" s="1109"/>
      <c r="BP131" s="1109"/>
      <c r="BQ131" s="1123"/>
      <c r="BR131" s="1109"/>
      <c r="BS131" s="1109"/>
      <c r="BT131" s="1109"/>
      <c r="BU131" s="1109"/>
      <c r="BV131" s="1109"/>
      <c r="BW131" s="1109"/>
      <c r="BX131" s="1109"/>
      <c r="BY131" s="1109"/>
      <c r="BZ131" s="1109"/>
      <c r="CA131" s="1109"/>
      <c r="CB131" s="1109"/>
      <c r="CC131" s="1109"/>
      <c r="CD131" s="1109"/>
      <c r="CE131" s="1109"/>
      <c r="CF131" s="1109"/>
      <c r="CG131" s="1109"/>
      <c r="CH131" s="1456"/>
    </row>
    <row r="132" spans="1:86" s="311" customFormat="1" ht="12" customHeight="1">
      <c r="A132" s="2672"/>
      <c r="B132" s="3107"/>
      <c r="C132" s="2929"/>
      <c r="D132" s="2929"/>
      <c r="E132" s="3303" t="s">
        <v>1421</v>
      </c>
      <c r="F132" s="2929"/>
      <c r="G132" s="3179"/>
      <c r="H132" s="3302"/>
      <c r="I132" s="2929"/>
      <c r="J132" s="2929"/>
      <c r="K132" s="2929"/>
      <c r="L132" s="2929"/>
      <c r="M132" s="2929"/>
      <c r="N132" s="2966"/>
      <c r="O132" s="2966"/>
      <c r="P132" s="2966"/>
      <c r="Q132" s="2966"/>
      <c r="R132" s="3432" t="str">
        <f>IF($K$7="BIO","Dü.-Art","")</f>
        <v/>
      </c>
      <c r="S132" s="3433" t="str">
        <f>S118</f>
        <v/>
      </c>
      <c r="T132" s="9"/>
      <c r="U132" s="9"/>
      <c r="V132" s="9"/>
      <c r="W132" s="9"/>
      <c r="X132" s="9"/>
      <c r="Y132" s="9"/>
      <c r="Z132" s="9"/>
      <c r="AA132" s="2750" t="s">
        <v>1861</v>
      </c>
      <c r="AB132" s="2749"/>
      <c r="AC132"/>
      <c r="AD132"/>
      <c r="AE132" s="1283"/>
      <c r="AF132" s="1283"/>
      <c r="AG132" s="1283"/>
      <c r="AH132" s="318"/>
      <c r="AI132" s="318"/>
      <c r="AJ132" s="318"/>
      <c r="AK132" s="318"/>
      <c r="AY132" s="1453" t="s">
        <v>1430</v>
      </c>
      <c r="BK132" s="1453"/>
      <c r="BL132" s="1109"/>
      <c r="BM132" s="1109"/>
      <c r="BN132" s="1109"/>
      <c r="BO132" s="1109"/>
      <c r="BP132" s="1109"/>
      <c r="BQ132" s="1123"/>
      <c r="BR132" s="1109"/>
      <c r="BS132" s="1109"/>
      <c r="BT132" s="1109"/>
      <c r="BU132" s="1109"/>
      <c r="BV132" s="1109"/>
      <c r="BW132" s="1109"/>
      <c r="BX132" s="1109"/>
      <c r="BY132" s="1109"/>
      <c r="BZ132" s="1109"/>
      <c r="CA132" s="1109"/>
      <c r="CB132" s="1109"/>
      <c r="CC132" s="1109"/>
      <c r="CD132" s="1109"/>
      <c r="CE132" s="1109"/>
      <c r="CF132" s="1109"/>
      <c r="CG132" s="1109"/>
      <c r="CH132" s="1456"/>
    </row>
    <row r="133" spans="1:86" s="311" customFormat="1" ht="12" customHeight="1">
      <c r="A133" s="3434"/>
      <c r="B133" s="60" t="s">
        <v>1821</v>
      </c>
      <c r="C133" s="2812"/>
      <c r="D133" s="2812"/>
      <c r="E133" s="2812"/>
      <c r="F133" s="3304"/>
      <c r="G133" s="3304"/>
      <c r="H133" s="3305" t="str">
        <f>"  betr.spez. N-Ausnutzung: 65% "&amp;IF(H152&lt;&gt;0,ROUND(H152*100,1)&amp;"% = "," - 0% = ")</f>
        <v xml:space="preserve">  betr.spez. N-Ausnutzung: 65%  - 0% = </v>
      </c>
      <c r="I133" s="2812"/>
      <c r="J133" s="2812"/>
      <c r="K133" s="2812"/>
      <c r="L133" s="3306">
        <f>0.65+H152</f>
        <v>0.65</v>
      </c>
      <c r="M133" s="2222"/>
      <c r="N133" s="2766" t="str">
        <f>IF(ISNUMBER(M133),M133*L133,"")</f>
        <v/>
      </c>
      <c r="O133" s="2222"/>
      <c r="P133" s="2222"/>
      <c r="Q133" s="2222"/>
      <c r="R133" s="3431" t="str">
        <f>IF(AND(SUM(N133:Q133)&lt;&gt;0,$K$7="BIO"),"HoDü","")</f>
        <v/>
      </c>
      <c r="S133" s="3435"/>
      <c r="T133" s="2796" t="str">
        <f>IF(AND(LEFT(R133,2)="Ho",S133=""),"&lt;- Bio?",IF(ISNUMBER(N133),N133,""))</f>
        <v/>
      </c>
      <c r="U133" s="2032" t="str">
        <f>IF(AND($K$7="BIO",$S133="ja",LEFT(R133,2)="Ho"),O133,"")</f>
        <v/>
      </c>
      <c r="V133" s="9"/>
      <c r="W133" s="9"/>
      <c r="X133" s="9"/>
      <c r="Y133" s="9"/>
      <c r="Z133" s="9"/>
      <c r="AA133" s="2750" t="s">
        <v>1860</v>
      </c>
      <c r="AB133" s="2750"/>
      <c r="AC133" s="10"/>
      <c r="AD133" s="10"/>
      <c r="AE133" s="1279"/>
      <c r="AF133" s="1279"/>
      <c r="AG133" s="1279"/>
      <c r="AH133" s="336"/>
      <c r="AI133" s="336"/>
      <c r="AJ133" s="336"/>
      <c r="AK133" s="318"/>
      <c r="AY133" s="1453" t="s">
        <v>1430</v>
      </c>
      <c r="BK133" s="1453"/>
      <c r="BL133" s="1109"/>
      <c r="BM133" s="1109"/>
      <c r="BN133" s="1109"/>
      <c r="BO133" s="1109"/>
      <c r="BP133" s="1109"/>
      <c r="BQ133" s="1123"/>
      <c r="BR133" s="1109"/>
      <c r="BS133" s="1109"/>
      <c r="BT133" s="1109"/>
      <c r="BU133" s="1109"/>
      <c r="BV133" s="1109"/>
      <c r="BW133" s="1109"/>
      <c r="BX133" s="1109"/>
      <c r="BY133" s="1109"/>
      <c r="BZ133" s="1109"/>
      <c r="CA133" s="1109"/>
      <c r="CB133" s="1109"/>
      <c r="CC133" s="1109"/>
      <c r="CD133" s="1109"/>
      <c r="CE133" s="1109"/>
      <c r="CF133" s="1109"/>
      <c r="CG133" s="1109"/>
      <c r="CH133" s="1456"/>
    </row>
    <row r="134" spans="1:86" s="311" customFormat="1" ht="12" customHeight="1">
      <c r="A134" s="3436" t="s">
        <v>1823</v>
      </c>
      <c r="B134" s="3508" t="s">
        <v>945</v>
      </c>
      <c r="C134" s="3509"/>
      <c r="D134" s="3509"/>
      <c r="E134" s="3510"/>
      <c r="F134" s="161"/>
      <c r="G134" s="2217"/>
      <c r="H134" s="1722"/>
      <c r="I134" s="1293" t="str">
        <f>IF(ISNUMBER(H134),H134*(0.65+H$152),"")</f>
        <v/>
      </c>
      <c r="J134" s="1722"/>
      <c r="K134" s="1722"/>
      <c r="L134" s="1722"/>
      <c r="M134" s="2177" t="str">
        <f>IF($G134=0,"",IF(H134="","Nges?",$G134*H134))</f>
        <v/>
      </c>
      <c r="N134" s="2177" t="str">
        <f t="shared" ref="N134" si="25">IF($G134=0,"",$G134*I134)</f>
        <v/>
      </c>
      <c r="O134" s="2177" t="str">
        <f>IF($G134=0,"",IF(J134="","P2O5?",$G134*J134))</f>
        <v/>
      </c>
      <c r="P134" s="2177" t="str">
        <f t="shared" ref="P134" si="26">IF($G134=0,"",$G134*K134)</f>
        <v/>
      </c>
      <c r="Q134" s="2177" t="str">
        <f t="shared" ref="Q134" si="27">IF($G134=0,"",$G134*L134)</f>
        <v/>
      </c>
      <c r="R134" s="3431" t="str">
        <f>IF(AND($K$7="BIO",G134&lt;&gt;0,COUNTIFS(B134,"*Hofdünger*")&gt;0),"HoDü","")</f>
        <v/>
      </c>
      <c r="S134" s="3435"/>
      <c r="T134" s="2032" t="str">
        <f>IF(AND($K$7="BIO",$S134="ja",LEFT(R134,2)="Ho"),N134,"")</f>
        <v/>
      </c>
      <c r="U134" s="2032" t="str">
        <f>IF(AND($K$7="BIO",$S134="ja",LEFT(R134,2)="Ho"),O134,"")</f>
        <v/>
      </c>
      <c r="V134" s="9"/>
      <c r="W134" s="9"/>
      <c r="X134" s="9"/>
      <c r="Y134" s="9"/>
      <c r="Z134" s="9"/>
      <c r="AA134" s="2750" t="s">
        <v>1859</v>
      </c>
      <c r="AB134" s="2750"/>
      <c r="AC134" s="10"/>
      <c r="AD134" s="10"/>
      <c r="AE134" s="1279"/>
      <c r="AF134" s="1279"/>
      <c r="AG134" s="1279"/>
      <c r="AH134" s="336"/>
      <c r="AI134" s="336"/>
      <c r="AJ134" s="336"/>
      <c r="AK134" s="336"/>
      <c r="AL134" s="332"/>
      <c r="AM134" s="332"/>
      <c r="AN134" s="332"/>
      <c r="AO134" s="332"/>
      <c r="AY134" s="1453" t="s">
        <v>1430</v>
      </c>
      <c r="BK134" s="1453"/>
      <c r="BL134" s="1109"/>
      <c r="BM134" s="1109"/>
      <c r="BN134" s="1109"/>
      <c r="BO134" s="1109"/>
      <c r="BP134" s="1109"/>
      <c r="BQ134" s="1123"/>
      <c r="BR134" s="1109"/>
      <c r="BS134" s="1109"/>
      <c r="BT134" s="1109"/>
      <c r="BU134" s="1109"/>
      <c r="BV134" s="1109"/>
      <c r="BW134" s="1109"/>
      <c r="BX134" s="1109"/>
      <c r="BY134" s="1109"/>
      <c r="BZ134" s="1109"/>
      <c r="CA134" s="1109"/>
      <c r="CB134" s="1109"/>
      <c r="CC134" s="1109"/>
      <c r="CD134" s="1109"/>
      <c r="CE134" s="1109"/>
      <c r="CF134" s="1109"/>
      <c r="CG134" s="1109"/>
      <c r="CH134" s="1456"/>
    </row>
    <row r="135" spans="1:86" s="311" customFormat="1" ht="12" hidden="1" customHeight="1">
      <c r="A135" s="3437" t="s">
        <v>1852</v>
      </c>
      <c r="B135" s="2767"/>
      <c r="C135" s="2768"/>
      <c r="D135" s="2768"/>
      <c r="E135" s="2768"/>
      <c r="F135" s="2758"/>
      <c r="G135" s="2769"/>
      <c r="H135" s="2665"/>
      <c r="I135" s="2765"/>
      <c r="J135" s="2665"/>
      <c r="K135" s="2665"/>
      <c r="L135" s="2665"/>
      <c r="M135" s="2766"/>
      <c r="N135" s="2766"/>
      <c r="O135" s="2766"/>
      <c r="P135" s="2766"/>
      <c r="Q135" s="2748"/>
      <c r="R135" s="3431"/>
      <c r="S135" s="3184"/>
      <c r="T135" s="9"/>
      <c r="U135" s="9"/>
      <c r="V135" s="9"/>
      <c r="W135" s="9"/>
      <c r="X135" s="9"/>
      <c r="Y135" s="9"/>
      <c r="Z135" s="9"/>
      <c r="AA135" s="2751" t="s">
        <v>1862</v>
      </c>
      <c r="AB135" s="1280"/>
      <c r="AC135" s="1275"/>
      <c r="AD135" s="1275"/>
      <c r="AE135" s="1279"/>
      <c r="AF135" s="1279"/>
      <c r="AG135" s="1279"/>
      <c r="AH135" s="336"/>
      <c r="AI135" s="336"/>
      <c r="AJ135" s="336"/>
      <c r="AK135" s="336"/>
      <c r="AL135" s="332"/>
      <c r="AM135" s="332"/>
      <c r="AN135" s="332"/>
      <c r="AO135" s="332"/>
      <c r="AY135" s="1453"/>
      <c r="BK135" s="1453"/>
      <c r="BL135" s="1109"/>
      <c r="BM135" s="1109"/>
      <c r="BN135" s="1109"/>
      <c r="BO135" s="1109"/>
      <c r="BP135" s="1109"/>
      <c r="BQ135" s="1123"/>
      <c r="BR135" s="1109"/>
      <c r="BS135" s="1109"/>
      <c r="BT135" s="1109"/>
      <c r="BU135" s="1109"/>
      <c r="BV135" s="1109"/>
      <c r="BW135" s="1109"/>
      <c r="BX135" s="1109"/>
      <c r="BY135" s="1109"/>
      <c r="BZ135" s="1109"/>
      <c r="CA135" s="1109"/>
      <c r="CB135" s="1109"/>
      <c r="CC135" s="1109"/>
      <c r="CD135" s="1109"/>
      <c r="CE135" s="1109"/>
      <c r="CF135" s="1109"/>
      <c r="CG135" s="1109"/>
      <c r="CH135" s="1456"/>
    </row>
    <row r="136" spans="1:86" s="311" customFormat="1" ht="12" customHeight="1">
      <c r="A136" s="3438" t="s">
        <v>1822</v>
      </c>
      <c r="B136" s="3508" t="s">
        <v>945</v>
      </c>
      <c r="C136" s="3509"/>
      <c r="D136" s="3509"/>
      <c r="E136" s="3510"/>
      <c r="F136" s="161"/>
      <c r="G136" s="2217"/>
      <c r="H136" s="2701"/>
      <c r="I136" s="1722"/>
      <c r="J136" s="1722"/>
      <c r="K136" s="1722"/>
      <c r="L136" s="1722"/>
      <c r="M136" s="2177"/>
      <c r="N136" s="2177" t="str">
        <f>IF($G136=0,"",IF(I136="","Nverf?",$G136*I136))</f>
        <v/>
      </c>
      <c r="O136" s="2177" t="str">
        <f>IF($G136=0,"",IF(J136="","P2O5?",$G136*J136))</f>
        <v/>
      </c>
      <c r="P136" s="2177" t="str">
        <f t="shared" ref="P136" si="28">IF($G136=0,"",$G136*K136)</f>
        <v/>
      </c>
      <c r="Q136" s="2177" t="str">
        <f t="shared" ref="Q136" si="29">IF($G136=0,"",$G136*L136)</f>
        <v/>
      </c>
      <c r="R136" s="3431"/>
      <c r="S136" s="3184"/>
      <c r="T136" s="9"/>
      <c r="U136" s="9"/>
      <c r="V136" s="9"/>
      <c r="W136" s="9"/>
      <c r="X136" s="9"/>
      <c r="Y136" s="9"/>
      <c r="Z136" s="9"/>
      <c r="AA136" s="1277" t="s">
        <v>1854</v>
      </c>
      <c r="AB136" s="1277"/>
      <c r="AC136" s="1275"/>
      <c r="AD136" s="1275"/>
      <c r="AE136" s="1279"/>
      <c r="AF136" s="1279"/>
      <c r="AG136" s="1279"/>
      <c r="AH136" s="336"/>
      <c r="AI136" s="336"/>
      <c r="AJ136" s="336"/>
      <c r="AK136" s="336"/>
      <c r="AL136" s="332"/>
      <c r="AM136" s="332"/>
      <c r="AN136" s="332"/>
      <c r="AO136" s="332"/>
      <c r="AY136" s="1453" t="s">
        <v>1430</v>
      </c>
      <c r="BK136" s="1453"/>
      <c r="BL136" s="1109"/>
      <c r="BM136" s="1109"/>
      <c r="BN136" s="1109"/>
      <c r="BO136" s="1109"/>
      <c r="BP136" s="1109"/>
      <c r="BQ136" s="1123"/>
      <c r="BR136" s="1109"/>
      <c r="BS136" s="1109"/>
      <c r="BT136" s="1109"/>
      <c r="BU136" s="1109"/>
      <c r="BV136" s="1109"/>
      <c r="BW136" s="1109"/>
      <c r="BX136" s="1109"/>
      <c r="BY136" s="1109"/>
      <c r="BZ136" s="1109"/>
      <c r="CA136" s="1109"/>
      <c r="CB136" s="1109"/>
      <c r="CC136" s="1109"/>
      <c r="CD136" s="1109"/>
      <c r="CE136" s="1109"/>
      <c r="CF136" s="1109"/>
      <c r="CG136" s="1109"/>
      <c r="CH136" s="1456"/>
    </row>
    <row r="137" spans="1:86" s="311" customFormat="1" ht="12" hidden="1" customHeight="1">
      <c r="A137" s="3439" t="s">
        <v>1852</v>
      </c>
      <c r="B137" s="2767"/>
      <c r="C137" s="2768"/>
      <c r="D137" s="2768"/>
      <c r="E137" s="2768"/>
      <c r="F137" s="2758"/>
      <c r="G137" s="2769"/>
      <c r="H137" s="2665"/>
      <c r="I137" s="2770"/>
      <c r="J137" s="2665"/>
      <c r="K137" s="2665"/>
      <c r="L137" s="2665"/>
      <c r="M137" s="2766"/>
      <c r="N137" s="2766"/>
      <c r="O137" s="2766"/>
      <c r="P137" s="2766"/>
      <c r="Q137" s="2748"/>
      <c r="R137" s="3431" t="str">
        <f t="shared" ref="R137" si="30">IF(COUNTIF(B137,"*Hofdünger*")&gt;0,"HoDü","")</f>
        <v/>
      </c>
      <c r="S137" s="3184"/>
      <c r="T137" s="9"/>
      <c r="U137" s="9"/>
      <c r="V137" s="9"/>
      <c r="W137" s="9"/>
      <c r="X137" s="9"/>
      <c r="Y137" s="9"/>
      <c r="Z137" s="9"/>
      <c r="AA137" s="2751" t="s">
        <v>1862</v>
      </c>
      <c r="AB137" s="1277"/>
      <c r="AC137" s="1275"/>
      <c r="AD137" s="1275"/>
      <c r="AE137" s="1279"/>
      <c r="AF137" s="1279"/>
      <c r="AG137" s="1279"/>
      <c r="AH137" s="336"/>
      <c r="AI137" s="336"/>
      <c r="AJ137" s="336"/>
      <c r="AK137" s="336"/>
      <c r="AL137" s="332"/>
      <c r="AM137" s="332"/>
      <c r="AN137" s="332"/>
      <c r="AO137" s="332"/>
      <c r="AY137" s="1453"/>
      <c r="BK137" s="1453"/>
      <c r="BL137" s="1109"/>
      <c r="BM137" s="1109"/>
      <c r="BN137" s="1109"/>
      <c r="BO137" s="1109"/>
      <c r="BP137" s="1109"/>
      <c r="BQ137" s="1123"/>
      <c r="BR137" s="1109"/>
      <c r="BS137" s="1109"/>
      <c r="BT137" s="1109"/>
      <c r="BU137" s="1109"/>
      <c r="BV137" s="1109"/>
      <c r="BW137" s="1109"/>
      <c r="BX137" s="1109"/>
      <c r="BY137" s="1109"/>
      <c r="BZ137" s="1109"/>
      <c r="CA137" s="1109"/>
      <c r="CB137" s="1109"/>
      <c r="CC137" s="1109"/>
      <c r="CD137" s="1109"/>
      <c r="CE137" s="1109"/>
      <c r="CF137" s="1109"/>
      <c r="CG137" s="1109"/>
      <c r="CH137" s="1456"/>
    </row>
    <row r="138" spans="1:86" s="311" customFormat="1" ht="12" customHeight="1">
      <c r="A138" s="3434"/>
      <c r="B138" s="127" t="s">
        <v>744</v>
      </c>
      <c r="C138" s="2812"/>
      <c r="D138" s="2812"/>
      <c r="E138" s="2812"/>
      <c r="F138" s="3304"/>
      <c r="G138" s="3304"/>
      <c r="H138" s="3307"/>
      <c r="I138" s="2812"/>
      <c r="J138" s="2812"/>
      <c r="K138" s="2812"/>
      <c r="L138" s="2812"/>
      <c r="M138" s="2223"/>
      <c r="N138" s="2224">
        <f>SUM(N133:N137)</f>
        <v>0</v>
      </c>
      <c r="O138" s="2224">
        <f>SUM(O133:O137)</f>
        <v>0</v>
      </c>
      <c r="P138" s="2224">
        <f>SUM(P133:P137)</f>
        <v>0</v>
      </c>
      <c r="Q138" s="2224">
        <f>SUM(Q133:Q137)</f>
        <v>0</v>
      </c>
      <c r="R138" s="3431"/>
      <c r="S138" s="3139"/>
      <c r="T138" s="2801" t="str">
        <f>IF(AND($K$7="BIO",SUM(N146:O146)&lt;&gt;0,M109&gt;0),N138/J157,"")</f>
        <v/>
      </c>
      <c r="U138" s="2802" t="str">
        <f>IF(AND($K$7="BIO",SUM(N146:O146)&lt;&gt;0,N109&gt;0),O138/K157,"")</f>
        <v/>
      </c>
      <c r="V138" s="2822" t="str">
        <f>IF(AND($K$7="BIO",SUM(N146:O146)&lt;&gt;0,N109&gt;0),"Anteile E1 an C","")</f>
        <v/>
      </c>
      <c r="W138" s="9"/>
      <c r="X138" s="9"/>
      <c r="Y138" s="9"/>
      <c r="Z138" s="9"/>
      <c r="AA138" s="1278" t="s">
        <v>1874</v>
      </c>
      <c r="AB138" s="1278"/>
      <c r="AC138" s="9"/>
      <c r="AD138" s="9"/>
      <c r="AE138" s="9"/>
      <c r="AF138" s="9"/>
      <c r="AG138" s="9"/>
      <c r="AK138" s="336"/>
      <c r="AL138" s="332"/>
      <c r="AM138" s="332"/>
      <c r="AN138" s="332"/>
      <c r="AO138" s="332"/>
      <c r="AY138" s="1453" t="s">
        <v>1430</v>
      </c>
      <c r="BK138" s="1453"/>
      <c r="BL138" s="1109"/>
      <c r="BM138" s="1109"/>
      <c r="BN138" s="1109"/>
      <c r="BO138" s="1109"/>
      <c r="BP138" s="1109"/>
      <c r="BQ138" s="1123"/>
      <c r="BR138" s="1109"/>
      <c r="BS138" s="1109"/>
      <c r="BT138" s="1109"/>
      <c r="BU138" s="1109"/>
      <c r="BV138" s="1109"/>
      <c r="BW138" s="1109"/>
      <c r="BX138" s="1109"/>
      <c r="BY138" s="1109"/>
      <c r="BZ138" s="1109"/>
      <c r="CA138" s="1109"/>
      <c r="CB138" s="1109"/>
      <c r="CC138" s="1109"/>
      <c r="CD138" s="1109"/>
      <c r="CE138" s="1109"/>
      <c r="CF138" s="1109"/>
      <c r="CG138" s="1109"/>
      <c r="CH138" s="1456"/>
    </row>
    <row r="139" spans="1:86" s="311" customFormat="1" ht="2.1" hidden="1" customHeight="1">
      <c r="A139" s="3173"/>
      <c r="B139" s="3077"/>
      <c r="C139" s="3075"/>
      <c r="D139" s="3075"/>
      <c r="E139" s="3075"/>
      <c r="F139" s="3137"/>
      <c r="G139" s="3137"/>
      <c r="H139" s="3302"/>
      <c r="I139" s="3075"/>
      <c r="J139" s="3075"/>
      <c r="K139" s="3075"/>
      <c r="L139" s="3075"/>
      <c r="M139" s="3171"/>
      <c r="N139" s="3308"/>
      <c r="O139" s="3308"/>
      <c r="P139" s="3308"/>
      <c r="Q139" s="3308"/>
      <c r="R139" s="3431"/>
      <c r="S139" s="3184"/>
      <c r="T139" s="9"/>
      <c r="U139" s="9"/>
      <c r="V139" s="9"/>
      <c r="W139" s="9"/>
      <c r="X139" s="9"/>
      <c r="Y139" s="9"/>
      <c r="Z139" s="9"/>
      <c r="AA139" s="1279"/>
      <c r="AB139" s="1279"/>
      <c r="AC139" s="1275"/>
      <c r="AD139" s="1275"/>
      <c r="AE139" s="1279"/>
      <c r="AF139" s="1279"/>
      <c r="AG139" s="1279"/>
      <c r="AH139" s="336"/>
      <c r="AI139" s="336"/>
      <c r="AJ139" s="336"/>
      <c r="AK139" s="336"/>
      <c r="AL139" s="332"/>
      <c r="AM139" s="332"/>
      <c r="AN139" s="332"/>
      <c r="AO139" s="332"/>
      <c r="AY139" s="1453" t="s">
        <v>1430</v>
      </c>
      <c r="BK139" s="1453"/>
      <c r="BL139" s="1109"/>
      <c r="BM139" s="1109"/>
      <c r="BN139" s="1109"/>
      <c r="BO139" s="1109"/>
      <c r="BP139" s="1109"/>
      <c r="BQ139" s="1123"/>
      <c r="BR139" s="1109"/>
      <c r="BS139" s="1109"/>
      <c r="BT139" s="1109"/>
      <c r="BU139" s="1109"/>
      <c r="BV139" s="1109"/>
      <c r="BW139" s="1109"/>
      <c r="BX139" s="1109"/>
      <c r="BY139" s="1109"/>
      <c r="BZ139" s="1109"/>
      <c r="CA139" s="1109"/>
      <c r="CB139" s="1109"/>
      <c r="CC139" s="1109"/>
      <c r="CD139" s="1109"/>
      <c r="CE139" s="1109"/>
      <c r="CF139" s="1109"/>
      <c r="CG139" s="1109"/>
      <c r="CH139" s="1456"/>
    </row>
    <row r="140" spans="1:86" s="311" customFormat="1" ht="12" hidden="1" customHeight="1">
      <c r="A140" s="3173"/>
      <c r="B140" s="60" t="s">
        <v>1767</v>
      </c>
      <c r="C140" s="2812"/>
      <c r="D140" s="2812"/>
      <c r="E140" s="2812"/>
      <c r="F140" s="3273"/>
      <c r="G140" s="3273"/>
      <c r="H140" s="3305"/>
      <c r="I140" s="3309" t="str">
        <f>"  N-Ausnutzung:  = 20% "</f>
        <v xml:space="preserve">  N-Ausnutzung:  = 20% </v>
      </c>
      <c r="J140" s="2812"/>
      <c r="K140" s="2812"/>
      <c r="L140" s="2812"/>
      <c r="M140" s="2222"/>
      <c r="N140" s="2766" t="str">
        <f>IF(ISNUMBER(M140),0.2*M140,"")</f>
        <v/>
      </c>
      <c r="O140" s="2222"/>
      <c r="P140" s="2222"/>
      <c r="Q140" s="2222"/>
      <c r="R140" s="3431" t="str">
        <f>IF(SUM(N140:Q140)&lt;&gt;0,"HoDü","")</f>
        <v/>
      </c>
      <c r="S140" s="3435"/>
      <c r="T140" s="2032" t="str">
        <f>IF(AND($K$7="BIO",$S140="ja",LEFT(R140,2)="Ho"),N140,"")</f>
        <v/>
      </c>
      <c r="U140" s="2032" t="str">
        <f>IF(AND($K$7="BIO",$S140="ja",LEFT(R140,2)="Ho"),O140,"")</f>
        <v/>
      </c>
      <c r="V140" s="9"/>
      <c r="W140" s="9"/>
      <c r="X140" s="9"/>
      <c r="Y140" s="9"/>
      <c r="Z140" s="9"/>
      <c r="AA140" s="2750" t="s">
        <v>1855</v>
      </c>
      <c r="AB140" s="2750"/>
      <c r="AC140" s="10"/>
      <c r="AD140" s="10"/>
      <c r="AE140" s="1279"/>
      <c r="AF140" s="1279"/>
      <c r="AG140" s="1279"/>
      <c r="AH140" s="336"/>
      <c r="AI140" s="336"/>
      <c r="AJ140" s="336"/>
      <c r="AK140" s="336"/>
      <c r="AL140" s="332"/>
      <c r="AM140" s="332"/>
      <c r="AN140" s="332"/>
      <c r="AO140" s="332"/>
      <c r="AY140" s="1453" t="s">
        <v>1430</v>
      </c>
      <c r="BK140" s="1453"/>
      <c r="BL140" s="1109"/>
      <c r="BM140" s="1109"/>
      <c r="BN140" s="1109"/>
      <c r="BO140" s="1109"/>
      <c r="BP140" s="1109"/>
      <c r="BQ140" s="1123"/>
      <c r="BR140" s="1109"/>
      <c r="BS140" s="1109"/>
      <c r="BT140" s="1109"/>
      <c r="BU140" s="1109"/>
      <c r="BV140" s="1109"/>
      <c r="BW140" s="1109"/>
      <c r="BX140" s="1109"/>
      <c r="BY140" s="1109"/>
      <c r="BZ140" s="1109"/>
      <c r="CA140" s="1109"/>
      <c r="CB140" s="1109"/>
      <c r="CC140" s="1109"/>
      <c r="CD140" s="1109"/>
      <c r="CE140" s="1109"/>
      <c r="CF140" s="1109"/>
      <c r="CG140" s="1109"/>
      <c r="CH140" s="1456"/>
    </row>
    <row r="141" spans="1:86" s="311" customFormat="1" ht="12" hidden="1" customHeight="1">
      <c r="A141" s="3173"/>
      <c r="B141" s="3508" t="s">
        <v>945</v>
      </c>
      <c r="C141" s="3567"/>
      <c r="D141" s="3567"/>
      <c r="E141" s="3568"/>
      <c r="F141" s="161"/>
      <c r="G141" s="2217"/>
      <c r="H141" s="1722"/>
      <c r="I141" s="1293" t="str">
        <f>IF(ISNUMBER(H141),H141*0.2,"")</f>
        <v/>
      </c>
      <c r="J141" s="1722"/>
      <c r="K141" s="1722"/>
      <c r="L141" s="1722"/>
      <c r="M141" s="2177" t="str">
        <f>IF($G141=0,"",IF(H141="","Nges?",$G141*H141))</f>
        <v/>
      </c>
      <c r="N141" s="2177" t="str">
        <f t="shared" ref="N141" si="31">IF($G141=0,"",$G141*I141)</f>
        <v/>
      </c>
      <c r="O141" s="2177" t="str">
        <f>IF($G141=0,"",IF(J141="","P2O5?",$G141*J141))</f>
        <v/>
      </c>
      <c r="P141" s="2177" t="str">
        <f t="shared" ref="P141" si="32">IF($G141=0,"",$G141*K141)</f>
        <v/>
      </c>
      <c r="Q141" s="2177" t="str">
        <f t="shared" ref="Q141" si="33">IF($G141=0,"",$G141*L141)</f>
        <v/>
      </c>
      <c r="R141" s="3431" t="str">
        <f>IF(AND($K$7="BIO",G141&lt;&gt;0,COUNTIFS(B141,"*Hofdünger*")&gt;0),"HoDü","")</f>
        <v/>
      </c>
      <c r="S141" s="3435"/>
      <c r="T141" s="2032" t="str">
        <f>IF(AND($K$7="BIO",$S141="ja",LEFT(R141,2)="Ho"),N141,"")</f>
        <v/>
      </c>
      <c r="U141" s="2032" t="str">
        <f>IF(AND($K$7="BIO",$S141="ja",LEFT(R141,2)="Ho"),O141,"")</f>
        <v/>
      </c>
      <c r="V141" s="9"/>
      <c r="W141" s="9"/>
      <c r="X141" s="9"/>
      <c r="Y141" s="9"/>
      <c r="Z141" s="9"/>
      <c r="AA141" s="1278" t="s">
        <v>1856</v>
      </c>
      <c r="AB141" s="1278"/>
      <c r="AC141" s="10"/>
      <c r="AD141" s="10"/>
      <c r="AE141" s="1279"/>
      <c r="AF141" s="1279"/>
      <c r="AG141" s="1279"/>
      <c r="AH141" s="336"/>
      <c r="AI141" s="336"/>
      <c r="AJ141" s="336"/>
      <c r="AK141" s="336"/>
      <c r="AL141" s="332"/>
      <c r="AM141" s="332"/>
      <c r="AN141" s="332"/>
      <c r="AO141" s="332"/>
      <c r="AY141" s="1453" t="s">
        <v>1430</v>
      </c>
      <c r="BK141" s="1453"/>
      <c r="BL141" s="1109"/>
      <c r="BM141" s="1109"/>
      <c r="BN141" s="1109"/>
      <c r="BO141" s="1109"/>
      <c r="BP141" s="1109"/>
      <c r="BQ141" s="1123"/>
      <c r="BR141" s="1109"/>
      <c r="BS141" s="1109"/>
      <c r="BT141" s="1109"/>
      <c r="BU141" s="1109"/>
      <c r="BV141" s="1109"/>
      <c r="BW141" s="1109"/>
      <c r="BX141" s="1109"/>
      <c r="BY141" s="1109"/>
      <c r="BZ141" s="1109"/>
      <c r="CA141" s="1109"/>
      <c r="CB141" s="1109"/>
      <c r="CC141" s="1109"/>
      <c r="CD141" s="1109"/>
      <c r="CE141" s="1109"/>
      <c r="CF141" s="1109"/>
      <c r="CG141" s="1109"/>
      <c r="CH141" s="1456"/>
    </row>
    <row r="142" spans="1:86" s="311" customFormat="1" ht="12" hidden="1" customHeight="1">
      <c r="A142" s="3437" t="s">
        <v>1852</v>
      </c>
      <c r="B142" s="3505" t="s">
        <v>1875</v>
      </c>
      <c r="C142" s="3506"/>
      <c r="D142" s="3506"/>
      <c r="E142" s="3507"/>
      <c r="F142" s="161"/>
      <c r="G142" s="2217">
        <v>0</v>
      </c>
      <c r="H142" s="1722"/>
      <c r="I142" s="1293" t="str">
        <f>IF(ISNUMBER(H142),H142*0.2,"")</f>
        <v/>
      </c>
      <c r="J142" s="1722"/>
      <c r="K142" s="1722"/>
      <c r="L142" s="1722"/>
      <c r="M142" s="2177" t="str">
        <f>IF($G142=0,"",IF(H142="","Nges?",$G142*H142))</f>
        <v/>
      </c>
      <c r="N142" s="2177" t="str">
        <f t="shared" ref="N142" si="34">IF($G142=0,"",$G142*I142)</f>
        <v/>
      </c>
      <c r="O142" s="2177" t="str">
        <f>IF($G142=0,"",IF(J142="","P2O5?",$G142*J142))</f>
        <v/>
      </c>
      <c r="P142" s="2177" t="str">
        <f t="shared" ref="P142" si="35">IF($G142=0,"",$G142*K142)</f>
        <v/>
      </c>
      <c r="Q142" s="2177" t="str">
        <f t="shared" ref="Q142" si="36">IF($G142=0,"",$G142*L142)</f>
        <v/>
      </c>
      <c r="R142" s="3431" t="str">
        <f>IF(AND(G142&lt;&gt;0,COUNTIF(B142,"*Hofdünger*")&gt;0),"HoDü","")</f>
        <v/>
      </c>
      <c r="S142" s="3184"/>
      <c r="T142" s="9"/>
      <c r="U142" s="9"/>
      <c r="V142" s="9"/>
      <c r="W142" s="9"/>
      <c r="X142" s="9"/>
      <c r="Y142" s="9"/>
      <c r="Z142" s="9"/>
      <c r="AA142" s="2751" t="s">
        <v>1862</v>
      </c>
      <c r="AB142" s="1278"/>
      <c r="AC142" s="10"/>
      <c r="AD142" s="10"/>
      <c r="AE142" s="1279"/>
      <c r="AF142" s="1279"/>
      <c r="AG142" s="1279"/>
      <c r="AH142" s="336"/>
      <c r="AI142" s="336"/>
      <c r="AJ142" s="336"/>
      <c r="AK142" s="336"/>
      <c r="AL142" s="332"/>
      <c r="AM142" s="332"/>
      <c r="AN142" s="332"/>
      <c r="AO142" s="332"/>
      <c r="AY142" s="1453" t="s">
        <v>1430</v>
      </c>
      <c r="BK142" s="1453"/>
      <c r="BL142" s="1109"/>
      <c r="BM142" s="1109"/>
      <c r="BN142" s="1109"/>
      <c r="BO142" s="1109"/>
      <c r="BP142" s="1109"/>
      <c r="BQ142" s="1123"/>
      <c r="BR142" s="1109"/>
      <c r="BS142" s="1109"/>
      <c r="BT142" s="1109"/>
      <c r="BU142" s="1109"/>
      <c r="BV142" s="1109"/>
      <c r="BW142" s="1109"/>
      <c r="BX142" s="1109"/>
      <c r="BY142" s="1109"/>
      <c r="BZ142" s="1109"/>
      <c r="CA142" s="1109"/>
      <c r="CB142" s="1109"/>
      <c r="CC142" s="1109"/>
      <c r="CD142" s="1109"/>
      <c r="CE142" s="1109"/>
      <c r="CF142" s="1109"/>
      <c r="CG142" s="1109"/>
      <c r="CH142" s="1456"/>
    </row>
    <row r="143" spans="1:86" s="311" customFormat="1" ht="12" hidden="1" customHeight="1">
      <c r="A143" s="3173"/>
      <c r="B143" s="127" t="s">
        <v>745</v>
      </c>
      <c r="C143" s="2812"/>
      <c r="D143" s="2812"/>
      <c r="E143" s="2812"/>
      <c r="F143" s="3304"/>
      <c r="G143" s="3304"/>
      <c r="H143" s="3307"/>
      <c r="I143" s="2812"/>
      <c r="J143" s="2812"/>
      <c r="K143" s="2812"/>
      <c r="L143" s="2812"/>
      <c r="M143" s="2223"/>
      <c r="N143" s="2224">
        <f>SUM(N140:N142)</f>
        <v>0</v>
      </c>
      <c r="O143" s="2224">
        <f>SUM(O140:O142)</f>
        <v>0</v>
      </c>
      <c r="P143" s="2224">
        <f>SUM(P140:P142)</f>
        <v>0</v>
      </c>
      <c r="Q143" s="2224">
        <f>SUM(Q140:Q142)</f>
        <v>0</v>
      </c>
      <c r="R143" s="3431"/>
      <c r="S143" s="3139"/>
      <c r="T143" s="2801" t="str">
        <f>IF(AND($K$7="BIO",SUM(N146:O146)&lt;&gt;0,M109&gt;0),N143/J157,"")</f>
        <v/>
      </c>
      <c r="U143" s="2802" t="str">
        <f>IF(AND($K$7="BIO",SUM(N146:O146)&lt;&gt;0,N109&gt;0),O143/K157,"")</f>
        <v/>
      </c>
      <c r="V143" s="2822" t="str">
        <f>IF(AND($K$7="BIO",SUM(N146:O146)&lt;&gt;0,N109&gt;0),"Anteile E2 an C","")</f>
        <v/>
      </c>
      <c r="W143" s="9"/>
      <c r="X143" s="9"/>
      <c r="Y143" s="9"/>
      <c r="Z143" s="9"/>
      <c r="AA143" s="1279" t="s">
        <v>1858</v>
      </c>
      <c r="AB143" s="1279"/>
      <c r="AC143" s="1275"/>
      <c r="AD143" s="1275"/>
      <c r="AE143" s="1279"/>
      <c r="AF143" s="1279"/>
      <c r="AG143" s="1279"/>
      <c r="AH143" s="336"/>
      <c r="AI143" s="336"/>
      <c r="AJ143" s="336"/>
      <c r="AK143" s="336"/>
      <c r="AL143" s="332"/>
      <c r="AM143" s="332"/>
      <c r="AN143" s="332"/>
      <c r="AO143" s="332"/>
      <c r="AY143" s="1453" t="s">
        <v>1430</v>
      </c>
      <c r="BK143" s="1453"/>
      <c r="BL143" s="1109"/>
      <c r="BM143" s="1109"/>
      <c r="BN143" s="1109"/>
      <c r="BO143" s="1109"/>
      <c r="BP143" s="1109"/>
      <c r="BQ143" s="1123"/>
      <c r="BR143" s="1109"/>
      <c r="BS143" s="1109"/>
      <c r="BT143" s="1109"/>
      <c r="BU143" s="1109"/>
      <c r="BV143" s="1109"/>
      <c r="BW143" s="1109"/>
      <c r="BX143" s="1109"/>
      <c r="BY143" s="1109"/>
      <c r="BZ143" s="1109"/>
      <c r="CA143" s="1109"/>
      <c r="CB143" s="1109"/>
      <c r="CC143" s="1109"/>
      <c r="CD143" s="1109"/>
      <c r="CE143" s="1109"/>
      <c r="CF143" s="1109"/>
      <c r="CG143" s="1109"/>
      <c r="CH143" s="1456"/>
    </row>
    <row r="144" spans="1:86" s="311" customFormat="1" ht="2.1" hidden="1" customHeight="1">
      <c r="A144" s="3173"/>
      <c r="B144" s="3077"/>
      <c r="C144" s="3075"/>
      <c r="D144" s="3075"/>
      <c r="E144" s="3075"/>
      <c r="F144" s="3137"/>
      <c r="G144" s="3137"/>
      <c r="H144" s="3302"/>
      <c r="I144" s="3075"/>
      <c r="J144" s="3075"/>
      <c r="K144" s="3075"/>
      <c r="L144" s="3075"/>
      <c r="M144" s="3171"/>
      <c r="N144" s="3308"/>
      <c r="O144" s="3308"/>
      <c r="P144" s="3308"/>
      <c r="Q144" s="3308"/>
      <c r="R144" s="3431"/>
      <c r="S144" s="3184"/>
      <c r="T144" s="9"/>
      <c r="U144" s="9"/>
      <c r="V144" s="9"/>
      <c r="W144" s="9"/>
      <c r="X144" s="9"/>
      <c r="Y144" s="9"/>
      <c r="Z144" s="9"/>
      <c r="AA144" s="1276"/>
      <c r="AB144" s="1279"/>
      <c r="AC144" s="1275"/>
      <c r="AD144" s="1275"/>
      <c r="AE144" s="1279"/>
      <c r="AF144" s="1279"/>
      <c r="AG144" s="1279"/>
      <c r="AH144" s="336"/>
      <c r="AI144" s="336"/>
      <c r="AJ144" s="336"/>
      <c r="AK144" s="336"/>
      <c r="AL144" s="332"/>
      <c r="AM144" s="332"/>
      <c r="AN144" s="332"/>
      <c r="AO144" s="332"/>
      <c r="AY144" s="1453"/>
      <c r="BK144" s="1453"/>
      <c r="BL144" s="1109"/>
      <c r="BM144" s="1109"/>
      <c r="BN144" s="1109"/>
      <c r="BO144" s="1109"/>
      <c r="BP144" s="1109"/>
      <c r="BQ144" s="1123"/>
      <c r="BR144" s="1109"/>
      <c r="BS144" s="1109"/>
      <c r="BT144" s="1109"/>
      <c r="BU144" s="1109"/>
      <c r="BV144" s="1109"/>
      <c r="BW144" s="1109"/>
      <c r="BX144" s="1109"/>
      <c r="BY144" s="1109"/>
      <c r="BZ144" s="1109"/>
      <c r="CA144" s="1109"/>
      <c r="CB144" s="1109"/>
      <c r="CC144" s="1109"/>
      <c r="CD144" s="1109"/>
      <c r="CE144" s="1109"/>
      <c r="CF144" s="1109"/>
      <c r="CG144" s="1109"/>
      <c r="CH144" s="1456"/>
    </row>
    <row r="145" spans="1:86" s="311" customFormat="1" ht="12" hidden="1" customHeight="1">
      <c r="A145" s="3173"/>
      <c r="B145" s="127" t="s">
        <v>1820</v>
      </c>
      <c r="C145" s="2812"/>
      <c r="D145" s="2812"/>
      <c r="E145" s="2812"/>
      <c r="F145" s="15" t="s">
        <v>892</v>
      </c>
      <c r="G145" s="2217"/>
      <c r="H145" s="294">
        <v>3.3</v>
      </c>
      <c r="I145" s="1293">
        <f>IF(ISNUMBER(H145),H145*(0.65+H$152),"")</f>
        <v>2.145</v>
      </c>
      <c r="J145" s="294">
        <v>0.9</v>
      </c>
      <c r="K145" s="294">
        <v>4</v>
      </c>
      <c r="L145" s="294">
        <v>0.6</v>
      </c>
      <c r="M145" s="2177" t="str">
        <f>IF($G145=0,"",IF(H145="","Nges?",$G145*H145))</f>
        <v/>
      </c>
      <c r="N145" s="2177" t="str">
        <f t="shared" ref="N145" si="37">IF($G145=0,"",$G145*I145)</f>
        <v/>
      </c>
      <c r="O145" s="2177" t="str">
        <f t="shared" ref="O145" si="38">IF($G145=0,"",$G145*J145)</f>
        <v/>
      </c>
      <c r="P145" s="2177" t="str">
        <f t="shared" ref="P145" si="39">IF($G145=0,"",$G145*K145)</f>
        <v/>
      </c>
      <c r="Q145" s="2177" t="str">
        <f t="shared" ref="Q145" si="40">IF($G145=0,"",$G145*L145)</f>
        <v/>
      </c>
      <c r="R145" s="3431"/>
      <c r="S145" s="3184"/>
      <c r="T145" s="9"/>
      <c r="U145" s="9"/>
      <c r="V145" s="9"/>
      <c r="W145" s="9"/>
      <c r="X145" s="9"/>
      <c r="Y145" s="9"/>
      <c r="Z145" s="9"/>
      <c r="AA145" s="2733" t="s">
        <v>1857</v>
      </c>
      <c r="AB145" s="1279"/>
      <c r="AC145" s="1275"/>
      <c r="AD145" s="1275"/>
      <c r="AE145" s="1279"/>
      <c r="AF145" s="1279"/>
      <c r="AG145" s="1279"/>
      <c r="AH145" s="336"/>
      <c r="AI145" s="336"/>
      <c r="AJ145" s="336"/>
      <c r="AK145" s="336"/>
      <c r="AL145" s="332"/>
      <c r="AM145" s="332"/>
      <c r="AN145" s="332"/>
      <c r="AO145" s="332"/>
      <c r="AY145" s="1453" t="s">
        <v>1430</v>
      </c>
      <c r="BK145" s="1453"/>
      <c r="BL145" s="1109"/>
      <c r="BM145" s="1109"/>
      <c r="BN145" s="1109"/>
      <c r="BO145" s="1109"/>
      <c r="BP145" s="1109"/>
      <c r="BQ145" s="1123"/>
      <c r="BR145" s="1109"/>
      <c r="BS145" s="1109"/>
      <c r="BT145" s="1109"/>
      <c r="BU145" s="1109"/>
      <c r="BV145" s="1109"/>
      <c r="BW145" s="1109"/>
      <c r="BX145" s="1109"/>
      <c r="BY145" s="1109"/>
      <c r="BZ145" s="1109"/>
      <c r="CA145" s="1109"/>
      <c r="CB145" s="1109"/>
      <c r="CC145" s="1109"/>
      <c r="CD145" s="1109"/>
      <c r="CE145" s="1109"/>
      <c r="CF145" s="1109"/>
      <c r="CG145" s="1109"/>
      <c r="CH145" s="1456"/>
    </row>
    <row r="146" spans="1:86" s="311" customFormat="1" ht="12" customHeight="1">
      <c r="A146" s="3173"/>
      <c r="B146" s="3075"/>
      <c r="C146" s="3075"/>
      <c r="D146" s="3075"/>
      <c r="E146" s="3075"/>
      <c r="F146" s="3075"/>
      <c r="G146" s="3075"/>
      <c r="H146" s="3075"/>
      <c r="I146" s="2929"/>
      <c r="J146" s="2929"/>
      <c r="K146" s="2929"/>
      <c r="L146" s="3137" t="s">
        <v>1819</v>
      </c>
      <c r="M146" s="3310"/>
      <c r="N146" s="2221">
        <f>SUM(N138,N143,N145)</f>
        <v>0</v>
      </c>
      <c r="O146" s="2221">
        <f t="shared" ref="O146:Q146" si="41">SUM(O138,O143,O145)</f>
        <v>0</v>
      </c>
      <c r="P146" s="2221">
        <f t="shared" si="41"/>
        <v>0</v>
      </c>
      <c r="Q146" s="2221">
        <f t="shared" si="41"/>
        <v>0</v>
      </c>
      <c r="R146" s="3429"/>
      <c r="S146" s="3440" t="str">
        <f>IF(AND($K$7="BIO",SUM(N146:O146)&lt;&gt;0,SUM(M109:N109)&gt;0),"Summe","")</f>
        <v/>
      </c>
      <c r="T146" s="2797" t="str">
        <f>IF(AND($K$7="BIO",SUM(N146:O146)&lt;&gt;0,M109&gt;0),SUM(N138,N143)/J157,"")</f>
        <v/>
      </c>
      <c r="U146" s="2798" t="str">
        <f>IF(AND($K$7="BIO",SUM(N146:O146)&lt;&gt;0,N109&gt;0),SUM(O138,O143)/K157,"")</f>
        <v/>
      </c>
      <c r="V146" s="2617" t="str">
        <f>IF(AND($K$7="BIO",SUM(N146:O146)&lt;&gt;0,SUM(M109:N109)&gt;0)," =  Anteile 'Vergärungsprodukte (E1+E2)' am Bedarf (C)","")</f>
        <v/>
      </c>
      <c r="W146" s="2029"/>
      <c r="Y146" s="9"/>
      <c r="Z146" s="9"/>
      <c r="AA146" s="1279"/>
      <c r="AB146" s="9"/>
      <c r="AC146" s="1275"/>
      <c r="AD146" s="1275"/>
      <c r="AE146" s="1279"/>
      <c r="AF146" s="1279"/>
      <c r="AG146" s="1279"/>
      <c r="AH146" s="336"/>
      <c r="AI146" s="336"/>
      <c r="AJ146" s="336"/>
      <c r="AK146" s="336"/>
      <c r="AL146" s="332"/>
      <c r="AM146" s="332"/>
      <c r="AN146" s="332"/>
      <c r="AO146" s="332"/>
      <c r="AY146" s="1453" t="s">
        <v>1430</v>
      </c>
      <c r="BK146" s="1453"/>
      <c r="BL146" s="1109"/>
      <c r="BM146" s="1109"/>
      <c r="BN146" s="1109"/>
      <c r="BO146" s="1109"/>
      <c r="BP146" s="1109"/>
      <c r="BQ146" s="1123"/>
      <c r="BR146" s="1109"/>
      <c r="BS146" s="1109"/>
      <c r="BT146" s="1109"/>
      <c r="BU146" s="1109"/>
      <c r="BV146" s="1109"/>
      <c r="BW146" s="1109"/>
      <c r="BX146" s="1109"/>
      <c r="BY146" s="1109"/>
      <c r="BZ146" s="1109"/>
      <c r="CA146" s="1109"/>
      <c r="CB146" s="1109"/>
      <c r="CC146" s="1109"/>
      <c r="CD146" s="1109"/>
      <c r="CE146" s="1109"/>
      <c r="CF146" s="1109"/>
      <c r="CG146" s="1109"/>
      <c r="CH146" s="1456"/>
    </row>
    <row r="147" spans="1:86" s="311" customFormat="1" ht="1.5" customHeight="1">
      <c r="A147" s="3173"/>
      <c r="B147" s="3075"/>
      <c r="C147" s="3075"/>
      <c r="D147" s="3075"/>
      <c r="E147" s="3075"/>
      <c r="F147" s="3075"/>
      <c r="G147" s="3075"/>
      <c r="H147" s="3075"/>
      <c r="I147" s="3075"/>
      <c r="J147" s="3075"/>
      <c r="K147" s="3075"/>
      <c r="L147" s="3075"/>
      <c r="M147" s="2966"/>
      <c r="N147" s="2966"/>
      <c r="O147" s="2966"/>
      <c r="P147" s="2966"/>
      <c r="Q147" s="2966"/>
      <c r="R147" s="3429"/>
      <c r="S147" s="3441"/>
      <c r="T147" s="135"/>
      <c r="U147" s="135"/>
      <c r="V147" s="135"/>
      <c r="W147" s="9"/>
      <c r="X147" s="9"/>
      <c r="Y147" s="9"/>
      <c r="Z147" s="9"/>
      <c r="AA147" s="1279"/>
      <c r="AB147" s="1279"/>
      <c r="AC147" s="1279"/>
      <c r="AD147" s="1279"/>
      <c r="AE147" s="1279"/>
      <c r="AF147" s="1279"/>
      <c r="AG147" s="1279"/>
      <c r="AH147" s="336"/>
      <c r="AI147" s="336"/>
      <c r="AJ147" s="336"/>
      <c r="AK147" s="336"/>
      <c r="AL147" s="332"/>
      <c r="AM147" s="332"/>
      <c r="AN147" s="332"/>
      <c r="AO147" s="332"/>
      <c r="AY147" s="1453" t="s">
        <v>1430</v>
      </c>
      <c r="BK147" s="1453"/>
      <c r="BL147" s="1109"/>
      <c r="BM147" s="1109"/>
      <c r="BN147" s="1109"/>
      <c r="BO147" s="1109"/>
      <c r="BP147" s="1109"/>
      <c r="BQ147" s="1123"/>
      <c r="BR147" s="1109"/>
      <c r="BS147" s="1109"/>
      <c r="BT147" s="1109"/>
      <c r="BU147" s="1109"/>
      <c r="BV147" s="1109"/>
      <c r="BW147" s="1109"/>
      <c r="BX147" s="1109"/>
      <c r="BY147" s="1109"/>
      <c r="BZ147" s="1109"/>
      <c r="CA147" s="1109"/>
      <c r="CB147" s="1109"/>
      <c r="CC147" s="1109"/>
      <c r="CD147" s="1109"/>
      <c r="CE147" s="1109"/>
      <c r="CF147" s="1109"/>
      <c r="CG147" s="1109"/>
      <c r="CH147" s="1456"/>
    </row>
    <row r="148" spans="1:86" s="315" customFormat="1" ht="12" customHeight="1">
      <c r="A148" s="3173"/>
      <c r="B148" s="3442"/>
      <c r="C148" s="3077"/>
      <c r="D148" s="3077"/>
      <c r="E148" s="170">
        <f>K8</f>
        <v>2026</v>
      </c>
      <c r="F148" s="129"/>
      <c r="G148" s="3075"/>
      <c r="H148" s="137"/>
      <c r="I148" s="3174"/>
      <c r="J148" s="3174"/>
      <c r="K148" s="3311"/>
      <c r="L148" s="137"/>
      <c r="M148" s="3312" t="s">
        <v>213</v>
      </c>
      <c r="N148" s="2173">
        <f>IF($A162="ja", SUM(N122,N131,N146), "")</f>
        <v>0</v>
      </c>
      <c r="O148" s="2173">
        <f>IF($A162="ja", SUM(O122,O131,O146), "")</f>
        <v>0</v>
      </c>
      <c r="P148" s="2173">
        <f>IF($A162="ja", SUM(P122,P131,P146), "")</f>
        <v>0</v>
      </c>
      <c r="Q148" s="2173">
        <f>IF($A162="ja", SUM(Q122,Q131,Q146), "")</f>
        <v>0</v>
      </c>
      <c r="R148" s="3443"/>
      <c r="S148" s="3444"/>
      <c r="T148" s="2800" t="str">
        <f>IF(AND($K$7="BIO",SUM(N146:O146)&lt;&gt;0,OR(AND(ISNUMBER(T146),T146&gt;0.5),AND(ISNUMBER(U146), U146&gt;0.5)) )," BIO-Achtung:  Anteil Vergärungsprodukte ist über 50% ","" )</f>
        <v/>
      </c>
      <c r="U148" s="2799"/>
      <c r="V148" s="2799"/>
      <c r="W148" s="7"/>
      <c r="X148" s="12"/>
      <c r="Y148" s="12"/>
      <c r="Z148" s="12"/>
      <c r="AA148" s="1279"/>
      <c r="AB148" s="1279"/>
      <c r="AC148" s="1285"/>
      <c r="AD148" s="1279"/>
      <c r="AE148" s="1285"/>
      <c r="AF148" s="1285"/>
      <c r="AG148" s="1285"/>
      <c r="AH148" s="1271"/>
      <c r="AI148" s="1271"/>
      <c r="AJ148" s="1271"/>
      <c r="AK148" s="1271"/>
      <c r="AL148" s="1272"/>
      <c r="AM148" s="1272"/>
      <c r="AN148" s="1272"/>
      <c r="AO148" s="1272"/>
      <c r="AY148" s="1453" t="s">
        <v>1430</v>
      </c>
      <c r="BK148" s="1453"/>
      <c r="BL148" s="1110"/>
      <c r="BM148" s="1110"/>
      <c r="BN148" s="1110"/>
      <c r="BO148" s="1110"/>
      <c r="BP148" s="1110"/>
      <c r="BQ148" s="1123"/>
      <c r="BR148" s="1110"/>
      <c r="BS148" s="1110"/>
      <c r="BT148" s="1110"/>
      <c r="BU148" s="1110"/>
      <c r="BV148" s="1110"/>
      <c r="BW148" s="1110"/>
      <c r="BX148" s="1110"/>
      <c r="BY148" s="1110"/>
      <c r="BZ148" s="1110"/>
      <c r="CA148" s="1110"/>
      <c r="CB148" s="1110"/>
      <c r="CC148" s="1110"/>
      <c r="CD148" s="1110"/>
      <c r="CE148" s="1110"/>
      <c r="CF148" s="1110"/>
      <c r="CG148" s="1110"/>
      <c r="CH148" s="1463"/>
    </row>
    <row r="149" spans="1:86" s="315" customFormat="1" ht="8.1" customHeight="1">
      <c r="A149" s="3173"/>
      <c r="B149" s="3075"/>
      <c r="C149" s="3075"/>
      <c r="D149" s="3075"/>
      <c r="E149" s="3077"/>
      <c r="F149" s="3077"/>
      <c r="G149" s="3077"/>
      <c r="H149" s="3077"/>
      <c r="I149" s="3075"/>
      <c r="J149" s="3075"/>
      <c r="K149" s="3077"/>
      <c r="L149" s="3313"/>
      <c r="M149" s="3205"/>
      <c r="N149" s="3205"/>
      <c r="O149" s="3205"/>
      <c r="P149" s="3205"/>
      <c r="Q149" s="3205"/>
      <c r="R149" s="3077"/>
      <c r="S149" s="3407"/>
      <c r="T149" s="7"/>
      <c r="U149" s="7"/>
      <c r="V149" s="7"/>
      <c r="W149" s="7"/>
      <c r="X149" s="12"/>
      <c r="Y149" s="12"/>
      <c r="Z149" s="12"/>
      <c r="AA149" s="2054"/>
      <c r="AB149" s="1283"/>
      <c r="AC149" s="1287"/>
      <c r="AD149" s="1283"/>
      <c r="AE149" s="1288"/>
      <c r="AF149" s="1288"/>
      <c r="AG149" s="1288"/>
      <c r="AH149" s="323"/>
      <c r="AI149" s="323"/>
      <c r="AJ149" s="323"/>
      <c r="AK149" s="323"/>
      <c r="AY149" s="1453" t="s">
        <v>1430</v>
      </c>
      <c r="BK149" s="1453"/>
      <c r="BL149" s="1110"/>
      <c r="BM149" s="1110"/>
      <c r="BN149" s="1110"/>
      <c r="BO149" s="1110"/>
      <c r="BP149" s="1110"/>
      <c r="BQ149" s="1123"/>
      <c r="BR149" s="1110"/>
      <c r="BS149" s="1110"/>
      <c r="BT149" s="1110"/>
      <c r="BU149" s="1110"/>
      <c r="BV149" s="1110"/>
      <c r="BW149" s="1110"/>
      <c r="BX149" s="1110"/>
      <c r="BY149" s="1110"/>
      <c r="BZ149" s="1110"/>
      <c r="CA149" s="1110"/>
      <c r="CB149" s="1110"/>
      <c r="CC149" s="1110"/>
      <c r="CD149" s="1110"/>
      <c r="CE149" s="1110"/>
      <c r="CF149" s="1110"/>
      <c r="CG149" s="1110"/>
      <c r="CH149" s="1463"/>
    </row>
    <row r="150" spans="1:86" s="315" customFormat="1" ht="13.5">
      <c r="A150" s="3173"/>
      <c r="B150" s="125" t="s">
        <v>748</v>
      </c>
      <c r="C150" s="3130"/>
      <c r="D150" s="3130"/>
      <c r="E150" s="3130"/>
      <c r="F150" s="3130"/>
      <c r="G150" s="3128" t="s">
        <v>714</v>
      </c>
      <c r="H150" s="283">
        <v>0.6</v>
      </c>
      <c r="I150" s="3314"/>
      <c r="J150" s="3315"/>
      <c r="K150" s="3075"/>
      <c r="L150" s="3075"/>
      <c r="M150" s="3316" t="str">
        <f>IF(OR(ISBLANK(N150),N150&lt;0,N150&gt;0.1,ISBLANK(O150),O150&lt;0,O150&gt;0.1),"Fehlerbereiche für N + P eintragen -&gt;","Fehlerbereiche für N und P ")</f>
        <v xml:space="preserve">Fehlerbereiche für N und P </v>
      </c>
      <c r="N150" s="2823">
        <v>0</v>
      </c>
      <c r="O150" s="2823">
        <v>0</v>
      </c>
      <c r="P150" s="3317" t="str">
        <f>IF(K8&gt;2023," (ab 2024: 0%)"," (10% od. 0%)")</f>
        <v xml:space="preserve"> (ab 2024: 0%)</v>
      </c>
      <c r="Q150" s="3075"/>
      <c r="R150" s="3075"/>
      <c r="S150" s="3445" t="str">
        <f>IF(OR(N150&gt;0,O150&gt;0),"Achtung, ab Jahr 2024: Fehlerbereich =  0%","")</f>
        <v/>
      </c>
      <c r="T150" s="2809"/>
      <c r="U150" s="2810"/>
      <c r="V150" s="2810"/>
      <c r="W150" s="2810"/>
      <c r="X150" s="2811"/>
      <c r="Y150" s="12"/>
      <c r="Z150" s="12"/>
      <c r="AA150" s="2054" t="str">
        <f xml:space="preserve"> Daten!E506</f>
        <v xml:space="preserve">  </v>
      </c>
      <c r="AB150" s="1283"/>
      <c r="AC150" s="1287"/>
      <c r="AD150"/>
      <c r="AE150"/>
      <c r="AF150"/>
      <c r="AG150"/>
      <c r="AH150" s="324"/>
      <c r="AI150" s="324"/>
      <c r="AJ150" s="323"/>
      <c r="AK150" s="323"/>
      <c r="AY150" s="1453" t="s">
        <v>1430</v>
      </c>
      <c r="BK150" s="1453"/>
      <c r="BL150" s="1110"/>
      <c r="BM150" s="1110"/>
      <c r="BN150" s="1110"/>
      <c r="BO150" s="1110"/>
      <c r="BP150" s="1110"/>
      <c r="BQ150" s="1123"/>
      <c r="BR150" s="1110"/>
      <c r="BS150" s="1110"/>
      <c r="BT150" s="1110"/>
      <c r="BU150" s="1110"/>
      <c r="BV150" s="1110"/>
      <c r="BW150" s="1110"/>
      <c r="BX150" s="1110"/>
      <c r="BY150" s="1110"/>
      <c r="BZ150" s="1110"/>
      <c r="CA150" s="1110"/>
      <c r="CB150" s="1110"/>
      <c r="CC150" s="1110"/>
      <c r="CD150" s="1110"/>
      <c r="CE150" s="1110"/>
      <c r="CF150" s="1110"/>
      <c r="CG150" s="1110"/>
      <c r="CH150" s="1463"/>
    </row>
    <row r="151" spans="1:86" s="315" customFormat="1" ht="3.75" customHeight="1">
      <c r="A151" s="3173"/>
      <c r="B151" s="124"/>
      <c r="C151" s="3075"/>
      <c r="D151" s="3075"/>
      <c r="E151" s="3075"/>
      <c r="F151" s="3075"/>
      <c r="G151" s="3214"/>
      <c r="H151" s="3318"/>
      <c r="I151" s="3075"/>
      <c r="J151" s="3075"/>
      <c r="K151" s="3075"/>
      <c r="L151" s="3075"/>
      <c r="M151" s="3075"/>
      <c r="N151" s="3075"/>
      <c r="O151" s="3075"/>
      <c r="P151" s="3075"/>
      <c r="Q151" s="3075"/>
      <c r="R151" s="3075"/>
      <c r="S151" s="3407"/>
      <c r="T151" s="7"/>
      <c r="U151" s="7"/>
      <c r="V151" s="7"/>
      <c r="W151" s="7"/>
      <c r="X151" s="12"/>
      <c r="Y151" s="12"/>
      <c r="Z151" s="12"/>
      <c r="AA151" s="1283"/>
      <c r="AB151" s="1283"/>
      <c r="AC151" s="1287"/>
      <c r="AD151"/>
      <c r="AE151"/>
      <c r="AF151"/>
      <c r="AG151"/>
      <c r="AH151" s="324"/>
      <c r="AI151" s="324"/>
      <c r="AJ151" s="323"/>
      <c r="AK151" s="323"/>
      <c r="AY151" s="1453" t="s">
        <v>1430</v>
      </c>
      <c r="BK151" s="1453"/>
      <c r="BL151" s="1110"/>
      <c r="BM151" s="1110"/>
      <c r="BN151" s="1110"/>
      <c r="BO151" s="1110"/>
      <c r="BP151" s="1110"/>
      <c r="BQ151" s="1123"/>
      <c r="BR151" s="1110"/>
      <c r="BS151" s="1110"/>
      <c r="BT151" s="1110"/>
      <c r="BU151" s="1110"/>
      <c r="BV151" s="1110"/>
      <c r="BW151" s="1110"/>
      <c r="BX151" s="1110"/>
      <c r="BY151" s="1110"/>
      <c r="BZ151" s="1110"/>
      <c r="CA151" s="1110"/>
      <c r="CB151" s="1110"/>
      <c r="CC151" s="1110"/>
      <c r="CD151" s="1110"/>
      <c r="CE151" s="1110"/>
      <c r="CF151" s="1110"/>
      <c r="CG151" s="1110"/>
      <c r="CH151" s="1463"/>
    </row>
    <row r="152" spans="1:86" s="311" customFormat="1" ht="14.25" customHeight="1">
      <c r="A152" s="3173"/>
      <c r="B152" s="3075"/>
      <c r="C152" s="3319">
        <f>IF(D109=0,0,N111)</f>
        <v>0</v>
      </c>
      <c r="D152" s="3075" t="s">
        <v>187</v>
      </c>
      <c r="E152" s="3075"/>
      <c r="F152" s="3320"/>
      <c r="G152" s="3320" t="s">
        <v>727</v>
      </c>
      <c r="H152" s="3318">
        <f>-C152*0.15</f>
        <v>0</v>
      </c>
      <c r="I152" s="3075"/>
      <c r="J152" s="138" t="s">
        <v>728</v>
      </c>
      <c r="K152" s="3321"/>
      <c r="L152" s="3321"/>
      <c r="M152" s="139"/>
      <c r="N152" s="1342" t="s">
        <v>729</v>
      </c>
      <c r="O152" s="3322"/>
      <c r="P152" s="3322"/>
      <c r="Q152" s="1343"/>
      <c r="R152" s="3075"/>
      <c r="S152" s="3184"/>
      <c r="T152" s="9"/>
      <c r="U152" s="9"/>
      <c r="V152" s="9"/>
      <c r="W152" s="9"/>
      <c r="X152" s="9"/>
      <c r="Y152" s="9"/>
      <c r="Z152" s="9"/>
      <c r="AA152" s="2052" t="str">
        <f xml:space="preserve"> Daten!E499</f>
        <v>- Beim ÖLN darf die Gesamtbilanz den Fehlerbereich bei N und P nicht überschreiten.</v>
      </c>
      <c r="AB152" s="3"/>
      <c r="AC152" s="1287"/>
      <c r="AD152" s="4"/>
      <c r="AE152" s="1288"/>
      <c r="AF152" s="1288"/>
      <c r="AG152" s="1288"/>
      <c r="AH152" s="323"/>
      <c r="AI152" s="323"/>
      <c r="AJ152" s="318"/>
      <c r="AK152" s="318"/>
      <c r="AY152" s="1453" t="s">
        <v>1430</v>
      </c>
      <c r="BK152" s="1453"/>
      <c r="BL152" s="1109"/>
      <c r="BM152" s="1109"/>
      <c r="BN152" s="1109"/>
      <c r="BO152" s="1109"/>
      <c r="BP152" s="1109"/>
      <c r="BQ152" s="1123"/>
      <c r="BR152" s="1109"/>
      <c r="BS152" s="1109"/>
      <c r="BT152" s="1109"/>
      <c r="BU152" s="1109"/>
      <c r="BV152" s="1109"/>
      <c r="BW152" s="1109"/>
      <c r="BX152" s="1109"/>
      <c r="BY152" s="1109"/>
      <c r="BZ152" s="1109"/>
      <c r="CA152" s="1109"/>
      <c r="CB152" s="1109"/>
      <c r="CC152" s="1109"/>
      <c r="CD152" s="1109"/>
      <c r="CE152" s="1109"/>
      <c r="CF152" s="1109"/>
      <c r="CG152" s="1109"/>
      <c r="CH152" s="1456"/>
    </row>
    <row r="153" spans="1:86" s="311" customFormat="1" ht="13.5">
      <c r="A153" s="3173"/>
      <c r="B153" s="3075"/>
      <c r="C153" s="297">
        <f>IF(AND(R40&lt;=1,R40&gt;=0),R40,"??")</f>
        <v>0</v>
      </c>
      <c r="D153" s="3075" t="s">
        <v>730</v>
      </c>
      <c r="E153" s="3075"/>
      <c r="F153" s="3034"/>
      <c r="G153" s="3320" t="s">
        <v>731</v>
      </c>
      <c r="H153" s="3318">
        <f>-C153*0.12</f>
        <v>0</v>
      </c>
      <c r="I153" s="3075"/>
      <c r="J153" s="1347" t="s">
        <v>732</v>
      </c>
      <c r="K153" s="1347" t="s">
        <v>733</v>
      </c>
      <c r="L153" s="1348" t="s">
        <v>734</v>
      </c>
      <c r="M153" s="1349" t="s">
        <v>124</v>
      </c>
      <c r="N153" s="1344" t="s">
        <v>732</v>
      </c>
      <c r="O153" s="1344" t="s">
        <v>733</v>
      </c>
      <c r="P153" s="1348" t="s">
        <v>734</v>
      </c>
      <c r="Q153" s="3323" t="s">
        <v>124</v>
      </c>
      <c r="R153" s="3075"/>
      <c r="S153" s="3184"/>
      <c r="T153" s="1257" t="s">
        <v>1480</v>
      </c>
      <c r="U153" s="9"/>
      <c r="V153" s="9"/>
      <c r="W153" s="9"/>
      <c r="X153" s="9"/>
      <c r="Y153" s="9"/>
      <c r="Z153" s="9"/>
      <c r="AA153" s="1273" t="s">
        <v>192</v>
      </c>
      <c r="AB153" s="3"/>
      <c r="AC153" s="1283"/>
      <c r="AD153" s="1283"/>
      <c r="AE153" s="1283"/>
      <c r="AF153" s="1283"/>
      <c r="AG153" s="1283"/>
      <c r="AH153" s="318"/>
      <c r="AI153" s="318"/>
      <c r="AJ153" s="318"/>
      <c r="AK153" s="318"/>
      <c r="AY153" s="1453" t="s">
        <v>1430</v>
      </c>
      <c r="BK153" s="1453"/>
      <c r="BL153" s="1109"/>
      <c r="BM153" s="1109"/>
      <c r="BN153" s="1109"/>
      <c r="BO153" s="1109"/>
      <c r="BP153" s="1109"/>
      <c r="BQ153" s="1123"/>
      <c r="BR153" s="1109"/>
      <c r="BS153" s="1109"/>
      <c r="BT153" s="1109"/>
      <c r="BU153" s="1109"/>
      <c r="BV153" s="1109"/>
      <c r="BW153" s="1109"/>
      <c r="BX153" s="1109"/>
      <c r="BY153" s="1109"/>
      <c r="BZ153" s="1109"/>
      <c r="CA153" s="1109"/>
      <c r="CB153" s="1109"/>
      <c r="CC153" s="1109"/>
      <c r="CD153" s="1109"/>
      <c r="CE153" s="1109"/>
      <c r="CF153" s="1109"/>
      <c r="CG153" s="1109"/>
      <c r="CH153" s="1456"/>
    </row>
    <row r="154" spans="1:86" s="311" customFormat="1" ht="12" customHeight="1">
      <c r="A154" s="3173"/>
      <c r="B154" s="3075"/>
      <c r="C154" s="1205"/>
      <c r="D154" s="3236"/>
      <c r="E154" s="3236"/>
      <c r="F154" s="3236"/>
      <c r="G154" s="3237" t="s">
        <v>747</v>
      </c>
      <c r="H154" s="1206">
        <f>SUM(H150:H153)</f>
        <v>0.6</v>
      </c>
      <c r="I154" s="3324"/>
      <c r="J154" s="280" t="s">
        <v>735</v>
      </c>
      <c r="K154" s="280" t="s">
        <v>735</v>
      </c>
      <c r="L154" s="280" t="s">
        <v>735</v>
      </c>
      <c r="M154" s="281" t="s">
        <v>735</v>
      </c>
      <c r="N154" s="280" t="s">
        <v>736</v>
      </c>
      <c r="O154" s="280" t="s">
        <v>736</v>
      </c>
      <c r="P154" s="280" t="s">
        <v>736</v>
      </c>
      <c r="Q154" s="280" t="s">
        <v>736</v>
      </c>
      <c r="R154" s="3075"/>
      <c r="S154" s="3184"/>
      <c r="T154" s="2038" t="str">
        <f>J153</f>
        <v>Nverf</v>
      </c>
      <c r="U154" s="2045" t="str">
        <f>K153</f>
        <v>P2O5</v>
      </c>
      <c r="V154" s="1203"/>
      <c r="W154" s="1203"/>
      <c r="X154" s="9"/>
      <c r="Y154" s="9"/>
      <c r="Z154" s="9"/>
      <c r="AA154" s="3" t="s">
        <v>193</v>
      </c>
      <c r="AB154" s="3"/>
      <c r="AC154" s="1283"/>
      <c r="AD154" s="1283"/>
      <c r="AE154" s="1283"/>
      <c r="AF154" s="1283"/>
      <c r="AG154" s="1283"/>
      <c r="AH154" s="318"/>
      <c r="AI154" s="318"/>
      <c r="AJ154" s="318"/>
      <c r="AK154" s="318"/>
      <c r="AY154" s="1453" t="s">
        <v>1430</v>
      </c>
      <c r="BK154" s="1453"/>
      <c r="BL154" s="1109"/>
      <c r="BM154" s="1109"/>
      <c r="BN154" s="1109"/>
      <c r="BO154" s="1109"/>
      <c r="BP154" s="1109"/>
      <c r="BQ154" s="1123"/>
      <c r="BR154" s="1109"/>
      <c r="BS154" s="1109"/>
      <c r="BT154" s="1109"/>
      <c r="BU154" s="1109"/>
      <c r="BV154" s="1109"/>
      <c r="BW154" s="1109"/>
      <c r="BX154" s="1109"/>
      <c r="BY154" s="1109"/>
      <c r="BZ154" s="1109"/>
      <c r="CA154" s="1109"/>
      <c r="CB154" s="1109"/>
      <c r="CC154" s="1109"/>
      <c r="CD154" s="1109"/>
      <c r="CE154" s="1109"/>
      <c r="CF154" s="1109"/>
      <c r="CG154" s="1109"/>
      <c r="CH154" s="1456"/>
    </row>
    <row r="155" spans="1:86" s="347" customFormat="1" ht="2.4500000000000002" customHeight="1">
      <c r="A155" s="3446"/>
      <c r="B155" s="3325"/>
      <c r="C155" s="3325"/>
      <c r="D155" s="3325"/>
      <c r="E155" s="3325"/>
      <c r="F155" s="3325"/>
      <c r="G155" s="3325"/>
      <c r="H155" s="3325"/>
      <c r="I155" s="3326"/>
      <c r="J155" s="172"/>
      <c r="K155" s="172"/>
      <c r="L155" s="172"/>
      <c r="M155" s="173"/>
      <c r="N155" s="172"/>
      <c r="O155" s="172"/>
      <c r="P155" s="172"/>
      <c r="Q155" s="172"/>
      <c r="R155" s="3326"/>
      <c r="S155" s="3327"/>
      <c r="T155" s="1092"/>
      <c r="U155" s="2046"/>
      <c r="V155" s="1092"/>
      <c r="W155" s="1092"/>
      <c r="X155" s="174"/>
      <c r="Y155" s="174"/>
      <c r="Z155" s="174"/>
      <c r="AA155" s="3"/>
      <c r="AB155" s="3"/>
      <c r="AC155" s="1289"/>
      <c r="AD155" s="1289"/>
      <c r="AE155" s="1289"/>
      <c r="AF155" s="1289"/>
      <c r="AG155" s="1289"/>
      <c r="AH155" s="346"/>
      <c r="AI155" s="346"/>
      <c r="AJ155" s="346"/>
      <c r="AK155" s="346"/>
      <c r="AY155" s="1454" t="s">
        <v>1430</v>
      </c>
      <c r="BK155" s="1454"/>
      <c r="BL155" s="1112"/>
      <c r="BM155" s="1112"/>
      <c r="BN155" s="1112"/>
      <c r="BO155" s="1112"/>
      <c r="BP155" s="1112"/>
      <c r="BQ155" s="1123"/>
      <c r="BR155" s="1111"/>
      <c r="BS155" s="1111"/>
      <c r="BT155" s="1111"/>
      <c r="BU155" s="1111"/>
      <c r="BV155" s="1111"/>
      <c r="BW155" s="1111"/>
      <c r="BX155" s="1111"/>
      <c r="BY155" s="1111"/>
      <c r="BZ155" s="1111"/>
      <c r="CA155" s="1112"/>
      <c r="CB155" s="1112"/>
      <c r="CC155" s="1112"/>
      <c r="CD155" s="1112"/>
      <c r="CE155" s="1112"/>
      <c r="CF155" s="1112"/>
      <c r="CG155" s="1112"/>
      <c r="CH155" s="1465"/>
    </row>
    <row r="156" spans="1:86" s="311" customFormat="1" ht="12.95" customHeight="1">
      <c r="A156" s="3173" t="str">
        <f>IF(OR(NOT(ISERROR(SEARCH("*Ertragsschätzung*",H79))),H79=""),"","GF-Rechnung prüfen")</f>
        <v/>
      </c>
      <c r="B156" s="140" t="s">
        <v>737</v>
      </c>
      <c r="C156" s="3328"/>
      <c r="D156" s="3328"/>
      <c r="E156" s="3328"/>
      <c r="F156" s="3328"/>
      <c r="G156" s="55" t="s">
        <v>1390</v>
      </c>
      <c r="H156" s="2225">
        <f>IF(H154="--",0,L38)</f>
        <v>0</v>
      </c>
      <c r="I156" s="475" t="s">
        <v>1393</v>
      </c>
      <c r="J156" s="2226">
        <f>IF(H154="--",0,H154*L38)</f>
        <v>0</v>
      </c>
      <c r="K156" s="2226">
        <f>M38</f>
        <v>0</v>
      </c>
      <c r="L156" s="2226">
        <f>N38</f>
        <v>0</v>
      </c>
      <c r="M156" s="2227">
        <f>O38</f>
        <v>0</v>
      </c>
      <c r="N156" s="430" t="str">
        <f>IF(G109=0,"",J156/$G$109)</f>
        <v/>
      </c>
      <c r="O156" s="430" t="str">
        <f>IF(G109=0,"",K156/$G$109)</f>
        <v/>
      </c>
      <c r="P156" s="430" t="str">
        <f>IF(G109=0,"",L156/$G$109)</f>
        <v/>
      </c>
      <c r="Q156" s="430" t="str">
        <f>IF(G109=0,"",M156/$G$109)</f>
        <v/>
      </c>
      <c r="R156" s="3075"/>
      <c r="S156" s="3184"/>
      <c r="T156" s="2039" t="e">
        <f t="shared" ref="T156:U158" si="42">J156/J$157</f>
        <v>#DIV/0!</v>
      </c>
      <c r="U156" s="2047" t="e">
        <f t="shared" si="42"/>
        <v>#DIV/0!</v>
      </c>
      <c r="V156" s="2584"/>
      <c r="W156" s="2584"/>
      <c r="X156" s="9"/>
      <c r="Y156" s="9"/>
      <c r="Z156" s="9"/>
      <c r="AA156" s="1273" t="s">
        <v>1894</v>
      </c>
      <c r="AB156" s="1288"/>
      <c r="AC156" s="1283"/>
      <c r="AD156" s="1283"/>
      <c r="AE156" s="1283"/>
      <c r="AF156" s="1283"/>
      <c r="AG156" s="1283"/>
      <c r="AH156" s="318"/>
      <c r="AI156" s="318"/>
      <c r="AJ156" s="318"/>
      <c r="AK156" s="318"/>
      <c r="AY156" s="1453" t="s">
        <v>1430</v>
      </c>
      <c r="BK156" s="1453"/>
      <c r="BL156" s="1109"/>
      <c r="BM156" s="1109"/>
      <c r="BN156" s="1109"/>
      <c r="BO156" s="1109"/>
      <c r="BP156" s="1109"/>
      <c r="BQ156" s="1123"/>
      <c r="BR156" s="1109"/>
      <c r="BS156" s="1109"/>
      <c r="BT156" s="1109"/>
      <c r="BU156" s="1109"/>
      <c r="BV156" s="1109"/>
      <c r="BW156" s="1109"/>
      <c r="BX156" s="1109"/>
      <c r="BY156" s="1109"/>
      <c r="BZ156" s="1109"/>
      <c r="CA156" s="1109"/>
      <c r="CB156" s="1109"/>
      <c r="CC156" s="1109"/>
      <c r="CD156" s="1109"/>
      <c r="CE156" s="1109"/>
      <c r="CF156" s="1109"/>
      <c r="CG156" s="1109"/>
      <c r="CH156" s="1456"/>
    </row>
    <row r="157" spans="1:86" s="311" customFormat="1" ht="12.95" customHeight="1">
      <c r="A157" s="3368">
        <f>COUNTIF(J90:J96,"&gt;2.5")+COUNTIF(J99:J100,"&gt;2.5")+COUNTIF(J102:J103,"&gt;2.5")</f>
        <v>0</v>
      </c>
      <c r="B157" s="141" t="s">
        <v>738</v>
      </c>
      <c r="C157" s="3329"/>
      <c r="D157" s="3329"/>
      <c r="E157" s="3329"/>
      <c r="F157" s="3329"/>
      <c r="G157" s="3329"/>
      <c r="H157" s="3329"/>
      <c r="I157" s="3025" t="s">
        <v>743</v>
      </c>
      <c r="J157" s="2228">
        <f>M109</f>
        <v>0</v>
      </c>
      <c r="K157" s="2228">
        <f>N109</f>
        <v>0</v>
      </c>
      <c r="L157" s="2226">
        <f>O109</f>
        <v>0</v>
      </c>
      <c r="M157" s="2229">
        <f>P109</f>
        <v>0</v>
      </c>
      <c r="N157" s="1353" t="str">
        <f>IF(G109=0,"",J157/$G$109)</f>
        <v/>
      </c>
      <c r="O157" s="1353" t="str">
        <f>IF(G109=0,"",K157/$G$109)</f>
        <v/>
      </c>
      <c r="P157" s="438" t="str">
        <f>IF(G109=0,"",L157/$G$109)</f>
        <v/>
      </c>
      <c r="Q157" s="438" t="str">
        <f>IF(G109=0,"",M157/$G$109)</f>
        <v/>
      </c>
      <c r="R157" s="3075"/>
      <c r="S157" s="3407"/>
      <c r="T157" s="2040" t="e">
        <f t="shared" si="42"/>
        <v>#DIV/0!</v>
      </c>
      <c r="U157" s="2048" t="e">
        <f t="shared" si="42"/>
        <v>#DIV/0!</v>
      </c>
      <c r="V157" s="2584"/>
      <c r="W157" s="2584"/>
      <c r="X157" s="9"/>
      <c r="Y157" s="9"/>
      <c r="Z157" s="9"/>
      <c r="AA157" s="3"/>
      <c r="AB157" s="3" t="s">
        <v>636</v>
      </c>
      <c r="AC157" s="1288"/>
      <c r="AD157" s="1288"/>
      <c r="AE157" s="1288"/>
      <c r="AF157" s="1288"/>
      <c r="AG157" s="1288"/>
      <c r="AH157" s="323"/>
      <c r="AI157" s="323"/>
      <c r="AJ157" s="318"/>
      <c r="AK157" s="318"/>
      <c r="AY157" s="1453" t="s">
        <v>1430</v>
      </c>
      <c r="BK157" s="1453"/>
      <c r="BL157" s="1109"/>
      <c r="BM157" s="1109"/>
      <c r="BN157" s="1109"/>
      <c r="BO157" s="1109"/>
      <c r="BP157" s="1109"/>
      <c r="BQ157" s="1123"/>
      <c r="BR157" s="1109"/>
      <c r="BS157" s="1109"/>
      <c r="BT157" s="1109"/>
      <c r="BU157" s="1109"/>
      <c r="BV157" s="1109"/>
      <c r="BW157" s="1109"/>
      <c r="BX157" s="1109"/>
      <c r="BY157" s="1109"/>
      <c r="BZ157" s="1109"/>
      <c r="CA157" s="1109"/>
      <c r="CB157" s="1109"/>
      <c r="CC157" s="1109"/>
      <c r="CD157" s="1109"/>
      <c r="CE157" s="1109"/>
      <c r="CF157" s="1109"/>
      <c r="CG157" s="1109"/>
      <c r="CH157" s="1456"/>
    </row>
    <row r="158" spans="1:86" s="315" customFormat="1" ht="14.1" customHeight="1">
      <c r="A158" s="3447" t="str">
        <f>IF(OR(A156&lt;&gt;"",A157&gt;0.1),"nein","ja")</f>
        <v>ja</v>
      </c>
      <c r="B158" s="142" t="s">
        <v>739</v>
      </c>
      <c r="C158" s="3330"/>
      <c r="D158" s="3331"/>
      <c r="E158" s="3331"/>
      <c r="F158" s="3330"/>
      <c r="G158" s="3330"/>
      <c r="H158" s="3330"/>
      <c r="I158" s="56" t="s">
        <v>1339</v>
      </c>
      <c r="J158" s="2230">
        <f>J156-J157</f>
        <v>0</v>
      </c>
      <c r="K158" s="2230">
        <f>K156-K157</f>
        <v>0</v>
      </c>
      <c r="L158" s="2230">
        <f>L156-L157</f>
        <v>0</v>
      </c>
      <c r="M158" s="2231">
        <f>M156-M157</f>
        <v>0</v>
      </c>
      <c r="N158" s="310" t="str">
        <f>IF(G109=0,"",N156-N157)</f>
        <v/>
      </c>
      <c r="O158" s="310" t="str">
        <f>IF(G109=0,"",O156-O157)</f>
        <v/>
      </c>
      <c r="P158" s="310" t="str">
        <f>IF(G109=0,"",P156-P157)</f>
        <v/>
      </c>
      <c r="Q158" s="310" t="str">
        <f>IF(G109=0,"",Q156-Q157)</f>
        <v/>
      </c>
      <c r="R158" s="3077"/>
      <c r="S158" s="3154"/>
      <c r="T158" s="2041" t="e">
        <f t="shared" si="42"/>
        <v>#DIV/0!</v>
      </c>
      <c r="U158" s="2049" t="e">
        <f t="shared" si="42"/>
        <v>#DIV/0!</v>
      </c>
      <c r="V158" s="2584"/>
      <c r="W158" s="2584"/>
      <c r="X158" s="12"/>
      <c r="Y158" s="12"/>
      <c r="Z158" s="12"/>
      <c r="AA158" s="2012" t="str">
        <f>Daten!E499</f>
        <v>- Beim ÖLN darf die Gesamtbilanz den Fehlerbereich bei N und P nicht überschreiten.</v>
      </c>
      <c r="AB158" s="351"/>
      <c r="AC158" s="351"/>
      <c r="AD158" s="351"/>
      <c r="AE158" s="351"/>
      <c r="AF158" s="351"/>
      <c r="AG158" s="351"/>
      <c r="AH158" s="351"/>
      <c r="AI158" s="351"/>
      <c r="AJ158" s="351"/>
      <c r="AK158" s="2018"/>
      <c r="AY158" s="1453" t="s">
        <v>1430</v>
      </c>
      <c r="BK158" s="1453"/>
      <c r="BL158" s="1110"/>
      <c r="BM158" s="1110"/>
      <c r="BN158" s="1110"/>
      <c r="BO158" s="1110"/>
      <c r="BP158" s="1110"/>
      <c r="BQ158" s="1123"/>
      <c r="BR158" s="1110"/>
      <c r="BS158" s="1110"/>
      <c r="BT158" s="1110"/>
      <c r="BU158" s="1110"/>
      <c r="BV158" s="1110"/>
      <c r="BW158" s="1110"/>
      <c r="BX158" s="1110"/>
      <c r="BY158" s="1110"/>
      <c r="BZ158" s="1110"/>
      <c r="CA158" s="1110"/>
      <c r="CB158" s="1110"/>
      <c r="CC158" s="1110"/>
      <c r="CD158" s="1110"/>
      <c r="CE158" s="1110"/>
      <c r="CF158" s="1110"/>
      <c r="CG158" s="1110"/>
      <c r="CH158" s="1463"/>
    </row>
    <row r="159" spans="1:86" s="311" customFormat="1" ht="4.5" customHeight="1" thickBot="1">
      <c r="A159" s="3152"/>
      <c r="B159" s="3134"/>
      <c r="C159" s="3134"/>
      <c r="D159" s="3134"/>
      <c r="E159" s="3134"/>
      <c r="F159" s="3134"/>
      <c r="G159" s="3134"/>
      <c r="H159" s="3075"/>
      <c r="I159" s="3075"/>
      <c r="J159" s="3332"/>
      <c r="K159" s="3332"/>
      <c r="L159" s="3332"/>
      <c r="M159" s="3332"/>
      <c r="N159" s="2966"/>
      <c r="O159" s="2966"/>
      <c r="P159" s="2966"/>
      <c r="Q159" s="2966"/>
      <c r="R159" s="3075"/>
      <c r="S159" s="3184"/>
      <c r="T159" s="2042"/>
      <c r="U159" s="2050"/>
      <c r="V159" s="2042"/>
      <c r="W159" s="2042"/>
      <c r="X159" s="9"/>
      <c r="Y159" s="9"/>
      <c r="Z159" s="9"/>
      <c r="AA159" s="388"/>
      <c r="AB159" s="388"/>
      <c r="AC159" s="2017"/>
      <c r="AD159" s="2017"/>
      <c r="AE159" s="2017"/>
      <c r="AF159" s="2017"/>
      <c r="AG159" s="2017"/>
      <c r="AH159" s="2018"/>
      <c r="AI159" s="2018"/>
      <c r="AJ159" s="351"/>
      <c r="AK159" s="351"/>
      <c r="AY159" s="1453" t="s">
        <v>1430</v>
      </c>
      <c r="BK159" s="1453"/>
      <c r="BL159" s="1109"/>
      <c r="BM159" s="1109"/>
      <c r="BN159" s="1109"/>
      <c r="BO159" s="1109"/>
      <c r="BP159" s="1109"/>
      <c r="BQ159" s="1123"/>
      <c r="BR159" s="1109"/>
      <c r="BS159" s="1109"/>
      <c r="BT159" s="1109"/>
      <c r="BU159" s="1109"/>
      <c r="BV159" s="1109"/>
      <c r="BW159" s="1109"/>
      <c r="BX159" s="1109"/>
      <c r="BY159" s="1109"/>
      <c r="BZ159" s="1109"/>
      <c r="CA159" s="1109"/>
      <c r="CB159" s="1109"/>
      <c r="CC159" s="1109"/>
      <c r="CD159" s="1109"/>
      <c r="CE159" s="1109"/>
      <c r="CF159" s="1109"/>
      <c r="CG159" s="1109"/>
      <c r="CH159" s="1456"/>
    </row>
    <row r="160" spans="1:86" s="315" customFormat="1" ht="12.95" customHeight="1">
      <c r="A160" s="3448" t="s">
        <v>741</v>
      </c>
      <c r="B160" s="11" t="s">
        <v>742</v>
      </c>
      <c r="C160" s="3330"/>
      <c r="D160" s="3328"/>
      <c r="E160" s="3328"/>
      <c r="F160" s="3328"/>
      <c r="G160" s="3328"/>
      <c r="H160" s="3129"/>
      <c r="I160" s="3273" t="s">
        <v>1027</v>
      </c>
      <c r="J160" s="2232">
        <f>IF(OR($A$158&lt;&gt;"ja",$A$162&lt;&gt;"ja"),"",N148)</f>
        <v>0</v>
      </c>
      <c r="K160" s="2232">
        <f>IF(OR($A$158&lt;&gt;"ja",$A$162&lt;&gt;"ja")," ",O148)</f>
        <v>0</v>
      </c>
      <c r="L160" s="2232">
        <f>IF(OR($A$158&lt;&gt;"ja",$A$162&lt;&gt;"ja")," ",P148)</f>
        <v>0</v>
      </c>
      <c r="M160" s="2233">
        <f>IF(OR($A$158&lt;&gt;"ja",$A$162&lt;&gt;"ja")," ",Q148)</f>
        <v>0</v>
      </c>
      <c r="N160" s="434" t="str">
        <f>IF(G109=0,"",IF($A162&lt;&gt;"ja"," ",J160/$G$109))</f>
        <v/>
      </c>
      <c r="O160" s="434" t="str">
        <f>IF(G109=0,"",IF($A162&lt;&gt;"ja"," ",K160/$G$109))</f>
        <v/>
      </c>
      <c r="P160" s="434" t="str">
        <f>IF(G109=0,"",IF($A162&lt;&gt;"ja"," ",L160/$G$109))</f>
        <v/>
      </c>
      <c r="Q160" s="434" t="str">
        <f>IF(G109=0,"",IF($A162&lt;&gt;"ja"," ",M160/$G$109))</f>
        <v/>
      </c>
      <c r="R160" s="3077"/>
      <c r="S160" s="3154"/>
      <c r="T160" s="2039" t="e">
        <f>J160/J$157</f>
        <v>#DIV/0!</v>
      </c>
      <c r="U160" s="2047" t="e">
        <f>K160/K$157</f>
        <v>#DIV/0!</v>
      </c>
      <c r="V160" s="2584"/>
      <c r="W160" s="2584"/>
      <c r="X160" s="12"/>
      <c r="Y160" s="12"/>
      <c r="Z160" s="12"/>
      <c r="AA160" s="2012" t="str">
        <f>IF(K8&lt;=2023,Daten!E500,"")</f>
        <v/>
      </c>
      <c r="AB160" s="351"/>
      <c r="AC160" s="351"/>
      <c r="AD160" s="351"/>
      <c r="AE160" s="351"/>
      <c r="AF160" s="351"/>
      <c r="AG160" s="351"/>
      <c r="AH160" s="351"/>
      <c r="AI160" s="351"/>
      <c r="AJ160" s="351"/>
      <c r="AK160" s="351"/>
      <c r="AY160" s="1453" t="s">
        <v>1430</v>
      </c>
      <c r="BK160" s="1453"/>
      <c r="BL160" s="1110"/>
      <c r="BM160" s="1110"/>
      <c r="BN160" s="1110"/>
      <c r="BO160" s="1110"/>
      <c r="BP160" s="1110"/>
      <c r="BQ160" s="1123"/>
      <c r="BR160" s="1110"/>
      <c r="BS160" s="1110"/>
      <c r="BT160" s="1110"/>
      <c r="BU160" s="1110"/>
      <c r="BV160" s="1110"/>
      <c r="BW160" s="1110"/>
      <c r="BX160" s="1110"/>
      <c r="BY160" s="1110"/>
      <c r="BZ160" s="1110"/>
      <c r="CA160" s="1110"/>
      <c r="CB160" s="1110"/>
      <c r="CC160" s="1110"/>
      <c r="CD160" s="1110"/>
      <c r="CE160" s="1110"/>
      <c r="CF160" s="1110"/>
      <c r="CG160" s="1110"/>
      <c r="CH160" s="1463"/>
    </row>
    <row r="161" spans="1:86" s="315" customFormat="1" ht="11.1" customHeight="1" thickBot="1">
      <c r="A161" s="3449" t="s">
        <v>746</v>
      </c>
      <c r="B161" s="60" t="s">
        <v>751</v>
      </c>
      <c r="C161" s="2812"/>
      <c r="D161" s="2812"/>
      <c r="E161" s="2812"/>
      <c r="F161" s="2812"/>
      <c r="G161" s="2812"/>
      <c r="H161" s="3129"/>
      <c r="I161" s="3129" t="s">
        <v>752</v>
      </c>
      <c r="J161" s="2770"/>
      <c r="K161" s="2210">
        <f>N81</f>
        <v>0</v>
      </c>
      <c r="L161" s="432"/>
      <c r="M161" s="443"/>
      <c r="N161" s="432"/>
      <c r="O161" s="434" t="str">
        <f>IF(G109=0,"",K161/$G$109)</f>
        <v/>
      </c>
      <c r="P161" s="432"/>
      <c r="Q161" s="435"/>
      <c r="R161" s="3077"/>
      <c r="S161" s="3154"/>
      <c r="T161" s="2043"/>
      <c r="U161" s="2047" t="e">
        <f>K161/K$157</f>
        <v>#DIV/0!</v>
      </c>
      <c r="V161" s="2584"/>
      <c r="W161" s="2584"/>
      <c r="X161" s="12"/>
      <c r="Y161" s="12"/>
      <c r="Z161" s="12"/>
      <c r="AA161" s="2021" t="str">
        <f>IF(K8&lt;=2023,Daten!E501,"")</f>
        <v/>
      </c>
      <c r="AB161" s="351"/>
      <c r="AC161" s="351"/>
      <c r="AD161" s="351"/>
      <c r="AE161" s="351"/>
      <c r="AF161" s="351"/>
      <c r="AG161" s="351"/>
      <c r="AH161" s="351"/>
      <c r="AI161" s="351"/>
      <c r="AJ161" s="351"/>
      <c r="AK161" s="351"/>
      <c r="AY161" s="1453" t="s">
        <v>1430</v>
      </c>
      <c r="BK161" s="1453"/>
      <c r="BL161" s="1110"/>
      <c r="BM161" s="1110"/>
      <c r="BN161" s="1110"/>
      <c r="BO161" s="1110"/>
      <c r="BP161" s="1110"/>
      <c r="BQ161" s="1123"/>
      <c r="BR161" s="1110"/>
      <c r="BS161" s="1110"/>
      <c r="BT161" s="1110"/>
      <c r="BU161" s="1110"/>
      <c r="BV161" s="1110"/>
      <c r="BW161" s="1110"/>
      <c r="BX161" s="1110"/>
      <c r="BY161" s="1110"/>
      <c r="BZ161" s="1110"/>
      <c r="CA161" s="1110"/>
      <c r="CB161" s="1110"/>
      <c r="CC161" s="1110"/>
      <c r="CD161" s="1110"/>
      <c r="CE161" s="1110"/>
      <c r="CF161" s="1110"/>
      <c r="CG161" s="1110"/>
      <c r="CH161" s="1463"/>
    </row>
    <row r="162" spans="1:86" s="311" customFormat="1" ht="15" customHeight="1" thickBot="1">
      <c r="A162" s="3450" t="s">
        <v>80</v>
      </c>
      <c r="B162" s="1207" t="s">
        <v>755</v>
      </c>
      <c r="C162" s="1208"/>
      <c r="D162" s="1208" t="s">
        <v>756</v>
      </c>
      <c r="E162" s="1209"/>
      <c r="F162" s="1208"/>
      <c r="G162" s="1208"/>
      <c r="H162" s="1210"/>
      <c r="I162" s="1210" t="s">
        <v>1028</v>
      </c>
      <c r="J162" s="2234">
        <f>IF(OR($A$158&lt;&gt;"ja",$A$162&lt;&gt;"ja"), "",J158+J160)</f>
        <v>0</v>
      </c>
      <c r="K162" s="2234">
        <f>IF(OR($A$158&lt;&gt;"ja",$A$162&lt;&gt;"ja"),"",K158+K160-K161)</f>
        <v>0</v>
      </c>
      <c r="L162" s="2235">
        <f>IF(OR($A$158&lt;&gt;"ja",$A$162&lt;&gt;"ja")," ",L158+L160)</f>
        <v>0</v>
      </c>
      <c r="M162" s="2236">
        <f>IF(OR($A$158&lt;&gt;"ja",$A$162&lt;&gt;"ja")," ",M158+M160)</f>
        <v>0</v>
      </c>
      <c r="N162" s="1345" t="str">
        <f>IF(G109=0,"",IF($A162&lt;&gt;"ja"," ",N158+N160))</f>
        <v/>
      </c>
      <c r="O162" s="1345" t="str">
        <f>IF(G109=0,"",IF($A162&lt;&gt;"ja"," ",O158+O160-O161))</f>
        <v/>
      </c>
      <c r="P162" s="1345" t="str">
        <f>IF(G109=0,"",IF($A162&lt;&gt;"ja"," ",P158+P160))</f>
        <v/>
      </c>
      <c r="Q162" s="1346" t="str">
        <f>IF(G109=0,"",IF($A162&lt;&gt;"ja"," ",Q158+Q160))</f>
        <v/>
      </c>
      <c r="R162" s="3075"/>
      <c r="S162" s="3184"/>
      <c r="T162" s="2044" t="e">
        <f>J162/J$157</f>
        <v>#DIV/0!</v>
      </c>
      <c r="U162" s="2051" t="e">
        <f>K162/K$157</f>
        <v>#DIV/0!</v>
      </c>
      <c r="V162" s="2584"/>
      <c r="W162" s="2584"/>
      <c r="X162" s="9"/>
      <c r="Y162" s="9"/>
      <c r="Z162" s="9"/>
      <c r="AA162" s="2022" t="str">
        <f>IF(K8&lt;=2023,Daten!E502,"")</f>
        <v/>
      </c>
      <c r="AB162" s="2022"/>
      <c r="AC162" s="2022"/>
      <c r="AD162" s="2022"/>
      <c r="AE162" s="2022"/>
      <c r="AF162" s="2022"/>
      <c r="AG162" s="2022"/>
      <c r="AH162" s="2022"/>
      <c r="AI162" s="2022"/>
      <c r="AJ162" s="2022"/>
      <c r="AK162" s="2018"/>
      <c r="AY162" s="1453" t="s">
        <v>1430</v>
      </c>
      <c r="BK162" s="1453"/>
      <c r="BL162" s="1109"/>
      <c r="BM162" s="1109"/>
      <c r="BN162" s="1109"/>
      <c r="BO162" s="1109"/>
      <c r="BP162" s="1109"/>
      <c r="BQ162" s="1123"/>
      <c r="BR162" s="1109"/>
      <c r="BS162" s="1109"/>
      <c r="BT162" s="1109"/>
      <c r="BU162" s="1109"/>
      <c r="BV162" s="1109"/>
      <c r="BW162" s="1109"/>
      <c r="BX162" s="1109"/>
      <c r="BY162" s="1109"/>
      <c r="BZ162" s="1109"/>
      <c r="CA162" s="1109"/>
      <c r="CB162" s="1109"/>
      <c r="CC162" s="1109"/>
      <c r="CD162" s="1109"/>
      <c r="CE162" s="1109"/>
      <c r="CF162" s="1109"/>
      <c r="CG162" s="1109"/>
      <c r="CH162" s="1456"/>
    </row>
    <row r="163" spans="1:86" s="311" customFormat="1" ht="3.95" customHeight="1">
      <c r="A163" s="3173"/>
      <c r="B163" s="3075"/>
      <c r="C163" s="3075"/>
      <c r="D163" s="3075"/>
      <c r="E163" s="3075"/>
      <c r="F163" s="3075"/>
      <c r="G163" s="3075"/>
      <c r="H163" s="3075"/>
      <c r="I163" s="3075"/>
      <c r="J163" s="2966"/>
      <c r="K163" s="2966"/>
      <c r="L163" s="2966"/>
      <c r="M163" s="2966"/>
      <c r="N163" s="2966"/>
      <c r="O163" s="2966"/>
      <c r="P163" s="2966"/>
      <c r="Q163" s="2966"/>
      <c r="R163" s="3075"/>
      <c r="S163" s="3184"/>
      <c r="T163" s="9"/>
      <c r="U163" s="9"/>
      <c r="V163" s="9"/>
      <c r="W163" s="9"/>
      <c r="X163" s="9"/>
      <c r="Y163" s="9"/>
      <c r="Z163" s="9"/>
      <c r="AA163" s="2022"/>
      <c r="AB163" s="2022"/>
      <c r="AC163" s="2022"/>
      <c r="AD163" s="2022"/>
      <c r="AE163" s="2022"/>
      <c r="AF163" s="2022"/>
      <c r="AG163" s="2022"/>
      <c r="AH163" s="2022"/>
      <c r="AI163" s="2022"/>
      <c r="AJ163" s="2022"/>
      <c r="AK163" s="351"/>
      <c r="AY163" s="1453" t="s">
        <v>1430</v>
      </c>
      <c r="BK163" s="1453"/>
      <c r="BL163" s="1109"/>
      <c r="BM163" s="1109"/>
      <c r="BN163" s="1109"/>
      <c r="BO163" s="1109"/>
      <c r="BP163" s="1109"/>
      <c r="BQ163" s="1123"/>
      <c r="BR163" s="1109"/>
      <c r="BS163" s="1109"/>
      <c r="BT163" s="1109"/>
      <c r="BU163" s="1109"/>
      <c r="BV163" s="1109"/>
      <c r="BW163" s="1109"/>
      <c r="BX163" s="1109"/>
      <c r="BY163" s="1109"/>
      <c r="BZ163" s="1109"/>
      <c r="CA163" s="1109"/>
      <c r="CB163" s="1109"/>
      <c r="CC163" s="1109"/>
      <c r="CD163" s="1109"/>
      <c r="CE163" s="1109"/>
      <c r="CF163" s="1109"/>
      <c r="CG163" s="1109"/>
      <c r="CH163" s="1456"/>
    </row>
    <row r="164" spans="1:86" s="311" customFormat="1" ht="9.9499999999999993" customHeight="1">
      <c r="A164" s="3451" t="s">
        <v>757</v>
      </c>
      <c r="B164" s="3452" t="str">
        <f>Daten!E507</f>
        <v>ÖLN:</v>
      </c>
      <c r="C164" s="164" t="s">
        <v>758</v>
      </c>
      <c r="D164" s="22"/>
      <c r="E164" s="22"/>
      <c r="F164" s="22"/>
      <c r="G164" s="22"/>
      <c r="H164" s="57"/>
      <c r="I164" s="57" t="s">
        <v>759</v>
      </c>
      <c r="J164" s="2237">
        <f>IF(A158&lt;&gt;"ja","",IF(OR(Daten!Y1="BIO", K8&gt;2023),0,IF(ISBLANK(N150),"  _   ",IF(N150&lt;=0.1,J157*N150,0.1*J157))))</f>
        <v>0</v>
      </c>
      <c r="K164" s="2237">
        <f>IF(A158&lt;&gt;"ja","",IF(ISBLANK(O150),"  _   ",IF( K8&gt;2023,0,IF(O150&lt;=0.1,K157*O150,0.1*K157))))</f>
        <v>0</v>
      </c>
      <c r="L164" s="2238"/>
      <c r="M164" s="2239"/>
      <c r="N164" s="444" t="str">
        <f>IF(G109=0,"",IF(J164=0,0,N157*N150))</f>
        <v/>
      </c>
      <c r="O164" s="445" t="str">
        <f>IF(G109=0,"",IF(K8&gt;2023,0,IF(O150&lt;=0.1,O157*O150,0.1*O157)))</f>
        <v/>
      </c>
      <c r="P164" s="2966"/>
      <c r="Q164" s="2929"/>
      <c r="R164" s="3075"/>
      <c r="S164" s="3184"/>
      <c r="T164" s="9"/>
      <c r="U164" s="9"/>
      <c r="V164" s="9"/>
      <c r="W164" s="9"/>
      <c r="X164" s="9"/>
      <c r="Y164" s="9"/>
      <c r="Z164" s="9"/>
      <c r="AA164" s="3540" t="str">
        <f>Daten!E503</f>
        <v xml:space="preserve">  </v>
      </c>
      <c r="AB164" s="3540"/>
      <c r="AC164" s="3540"/>
      <c r="AD164" s="3540"/>
      <c r="AE164" s="3540"/>
      <c r="AF164" s="3540"/>
      <c r="AG164" s="3540"/>
      <c r="AH164" s="3540"/>
      <c r="AI164" s="3540"/>
      <c r="AJ164" s="3540"/>
      <c r="AK164" s="351"/>
      <c r="AT164" s="306"/>
      <c r="AY164" s="1453" t="s">
        <v>1430</v>
      </c>
      <c r="BK164" s="1453"/>
      <c r="BL164" s="1109"/>
      <c r="BM164" s="1109"/>
      <c r="BN164" s="1109"/>
      <c r="BO164" s="1109"/>
      <c r="BP164" s="1109"/>
      <c r="BQ164" s="1123"/>
      <c r="BR164" s="1109"/>
      <c r="BS164" s="1109"/>
      <c r="BT164" s="1109"/>
      <c r="BU164" s="1109"/>
      <c r="BV164" s="1109"/>
      <c r="BW164" s="1109"/>
      <c r="BX164" s="1109"/>
      <c r="BY164" s="1109"/>
      <c r="BZ164" s="1109"/>
      <c r="CA164" s="1109"/>
      <c r="CB164" s="1109"/>
      <c r="CC164" s="1109"/>
      <c r="CD164" s="1109"/>
      <c r="CE164" s="1109"/>
      <c r="CF164" s="1109"/>
      <c r="CG164" s="1109"/>
      <c r="CH164" s="1456"/>
    </row>
    <row r="165" spans="1:86" s="311" customFormat="1" ht="3.95" customHeight="1">
      <c r="A165" s="3173"/>
      <c r="B165" s="3075"/>
      <c r="C165" s="3075"/>
      <c r="D165" s="3075"/>
      <c r="E165" s="3075"/>
      <c r="F165" s="3075"/>
      <c r="G165" s="3078"/>
      <c r="H165" s="3075"/>
      <c r="I165" s="3075"/>
      <c r="J165" s="502"/>
      <c r="K165" s="2929"/>
      <c r="L165" s="2929"/>
      <c r="M165" s="2929"/>
      <c r="N165" s="2929"/>
      <c r="O165" s="2929"/>
      <c r="P165" s="2929"/>
      <c r="Q165" s="3333"/>
      <c r="R165" s="3075"/>
      <c r="S165" s="3184"/>
      <c r="T165" s="9"/>
      <c r="U165" s="9"/>
      <c r="V165" s="9"/>
      <c r="W165" s="9"/>
      <c r="X165" s="9"/>
      <c r="Y165" s="9"/>
      <c r="Z165" s="9"/>
      <c r="AA165" s="3540"/>
      <c r="AB165" s="3540"/>
      <c r="AC165" s="3540"/>
      <c r="AD165" s="3540"/>
      <c r="AE165" s="3540"/>
      <c r="AF165" s="3540"/>
      <c r="AG165" s="3540"/>
      <c r="AH165" s="3540"/>
      <c r="AI165" s="3540"/>
      <c r="AJ165" s="3540"/>
      <c r="AK165" s="351"/>
      <c r="AT165" s="306"/>
      <c r="AY165" s="1453" t="s">
        <v>1430</v>
      </c>
      <c r="BK165" s="1453"/>
      <c r="BL165" s="1109"/>
      <c r="BM165" s="1109"/>
      <c r="BN165" s="1109"/>
      <c r="BO165" s="1109"/>
      <c r="BP165" s="1109"/>
      <c r="BQ165" s="1123"/>
      <c r="BR165" s="1109"/>
      <c r="BS165" s="1109"/>
      <c r="BT165" s="1109"/>
      <c r="BU165" s="1109"/>
      <c r="BV165" s="1109"/>
      <c r="BW165" s="1109"/>
      <c r="BX165" s="1109"/>
      <c r="BY165" s="1109"/>
      <c r="BZ165" s="1109"/>
      <c r="CA165" s="1109"/>
      <c r="CB165" s="1109"/>
      <c r="CC165" s="1109"/>
      <c r="CD165" s="1109"/>
      <c r="CE165" s="1109"/>
      <c r="CF165" s="1109"/>
      <c r="CG165" s="1109"/>
      <c r="CH165" s="1456"/>
    </row>
    <row r="166" spans="1:86" s="311" customFormat="1" ht="12" customHeight="1">
      <c r="A166" s="3453" t="s">
        <v>1445</v>
      </c>
      <c r="B166" s="3454"/>
      <c r="C166" s="3034"/>
      <c r="D166" s="3204"/>
      <c r="E166" s="3034"/>
      <c r="F166" s="3034"/>
      <c r="G166" s="3034"/>
      <c r="H166" s="3334" t="str">
        <f xml:space="preserve"> IF(OR(ISNUMBER(R37)=FALSE,ISNUMBER(R40)=FALSE),"Vollmist-Nges überprüfen (Anfall/Zu-Wegfuhren) !",IF(A156&lt;&gt;"", "Grundfutter-Rechnung überprüfen !", IF(A157&gt;0.1,A157&amp;" Korrekturfaktor(en) Bodenproben zu gross (&gt;2.5)", IF(OR(ISBLANK(O150), O150&lt;0, O150 &gt; 0.1), "P-Fehlerbereich eintragen (0% oder 10%)", IF(A162="ja",IF(AND(J166&gt;0,K166&gt;0),"Toleranzen überschritten !",IF(J166&gt;0,"N-Toleranz überschritten !",IF(K166&gt;0,"P-Toleranz überschritten !","Gesamtbilanz: Toleranzen eingehalten !"))), "")))))</f>
        <v>Gesamtbilanz: Toleranzen eingehalten !</v>
      </c>
      <c r="I166" s="3075"/>
      <c r="J166" s="3335">
        <f>IF(A162&lt;&gt;"ja", "", IF((J162-J164)&gt;=0.5, J162-J164, 0))</f>
        <v>0</v>
      </c>
      <c r="K166" s="3335">
        <f>IF(A162&lt;&gt;"ja","", IF((K162-K164)&gt;=0.5,K162-K164, 0))</f>
        <v>0</v>
      </c>
      <c r="L166" s="3336"/>
      <c r="M166" s="3336"/>
      <c r="N166" s="3337" t="str">
        <f>IF(G109=0,"",IF(AND(J166&gt;0, A162= "ja"), N162-N164,""))</f>
        <v/>
      </c>
      <c r="O166" s="3337" t="str">
        <f>IF(G109=0,"",IF(AND(A162= "ja", K166&gt;0),O162-O164, ""))</f>
        <v/>
      </c>
      <c r="P166" s="3082"/>
      <c r="Q166" s="3338" t="str">
        <f>IF(K7="BIO","Zone","")</f>
        <v/>
      </c>
      <c r="R166" s="3455" t="s">
        <v>945</v>
      </c>
      <c r="S166" s="3456" t="str">
        <f>IF(AND(K7="BIO",OR(R166=" -",ISBLANK(R166))),"&lt;- Geben Sie die Zone ein für den DGVE-Höchstwert (vgl. Tab. weiter rechts)","")</f>
        <v/>
      </c>
      <c r="T166" s="2011"/>
      <c r="U166" s="2011"/>
      <c r="V166" s="2011"/>
      <c r="W166" s="2011"/>
      <c r="X166" s="9"/>
      <c r="Y166" s="9"/>
      <c r="Z166" s="9"/>
      <c r="AA166" s="2019" t="str">
        <f>IF(K8&lt;=2023,Daten!E504,"")</f>
        <v/>
      </c>
      <c r="AB166" s="2020"/>
      <c r="AC166" s="2020"/>
      <c r="AD166" s="2020"/>
      <c r="AE166" s="2020"/>
      <c r="AF166" s="2020"/>
      <c r="AG166" s="2020"/>
      <c r="AH166" s="2020"/>
      <c r="AI166" s="2020"/>
      <c r="AJ166" s="2020"/>
      <c r="AK166" s="351"/>
      <c r="AT166" s="306"/>
      <c r="AY166" s="1453" t="s">
        <v>1430</v>
      </c>
      <c r="BK166" s="1453"/>
      <c r="BL166" s="1109"/>
      <c r="BM166" s="1109"/>
      <c r="BN166" s="1109"/>
      <c r="BO166" s="1109"/>
      <c r="BP166" s="1109"/>
      <c r="BQ166" s="1123"/>
      <c r="BR166" s="1109"/>
      <c r="BS166" s="1109"/>
      <c r="BT166" s="1109"/>
      <c r="BU166" s="1109"/>
      <c r="BV166" s="1109"/>
      <c r="BW166" s="1109"/>
      <c r="BX166" s="1109"/>
      <c r="BY166" s="1109"/>
      <c r="BZ166" s="1109"/>
      <c r="CA166" s="1109"/>
      <c r="CB166" s="1109"/>
      <c r="CC166" s="1109"/>
      <c r="CD166" s="1109"/>
      <c r="CE166" s="1109"/>
      <c r="CF166" s="1109"/>
      <c r="CG166" s="1109"/>
      <c r="CH166" s="1456"/>
    </row>
    <row r="167" spans="1:86" s="311" customFormat="1" ht="9.9499999999999993" customHeight="1">
      <c r="A167" s="3242"/>
      <c r="B167" s="3380"/>
      <c r="C167" s="3034"/>
      <c r="D167" s="143"/>
      <c r="E167" s="144"/>
      <c r="F167" s="144"/>
      <c r="G167" s="162"/>
      <c r="H167" s="162" t="s">
        <v>760</v>
      </c>
      <c r="I167" s="68" t="s">
        <v>1391</v>
      </c>
      <c r="J167" s="2240">
        <f>J157+J164</f>
        <v>0</v>
      </c>
      <c r="K167" s="2240">
        <f>K157+K164</f>
        <v>0</v>
      </c>
      <c r="L167" s="446"/>
      <c r="M167" s="447"/>
      <c r="N167" s="1354" t="str">
        <f>IF(G109=0,"",N157+N164)</f>
        <v/>
      </c>
      <c r="O167" s="1355" t="str">
        <f>IF(G109=0,"",O157+O164)</f>
        <v/>
      </c>
      <c r="P167" s="3082"/>
      <c r="Q167" s="3082"/>
      <c r="R167" s="3457" t="str">
        <f>IF(K7 = "BIO", "Höchstwert", "")</f>
        <v/>
      </c>
      <c r="S167" s="3184"/>
      <c r="T167" s="9"/>
      <c r="U167" s="9"/>
      <c r="V167" s="9"/>
      <c r="W167" s="9"/>
      <c r="X167" s="9"/>
      <c r="Y167" s="9"/>
      <c r="Z167" s="9"/>
      <c r="AA167" s="3539" t="str">
        <f>IF(K8&lt;=2023,"Der Fehlerbereich ist die Kompensation für Schätz-Ungenauigkeiten der verwendeten Grunddaten (bis 2023). ","")</f>
        <v/>
      </c>
      <c r="AB167" s="3539"/>
      <c r="AC167" s="3539"/>
      <c r="AD167" s="3539"/>
      <c r="AE167" s="3539"/>
      <c r="AF167" s="3539"/>
      <c r="AG167" s="3539"/>
      <c r="AH167" s="3539"/>
      <c r="AI167" s="3539"/>
      <c r="AJ167" s="3539"/>
      <c r="AK167" s="3539"/>
      <c r="AT167" s="306"/>
      <c r="AY167" s="1453" t="s">
        <v>1430</v>
      </c>
      <c r="BK167" s="1453"/>
      <c r="BL167" s="1109"/>
      <c r="BM167" s="1109"/>
      <c r="BN167" s="1109"/>
      <c r="BO167" s="1109"/>
      <c r="BP167" s="1109"/>
      <c r="BQ167" s="1123"/>
      <c r="BR167" s="1109"/>
      <c r="BS167" s="1109"/>
      <c r="BT167" s="1109"/>
      <c r="BU167" s="1109"/>
      <c r="BV167" s="1109"/>
      <c r="BW167" s="1109"/>
      <c r="BX167" s="1109"/>
      <c r="BY167" s="1109"/>
      <c r="BZ167" s="1109"/>
      <c r="CA167" s="1109"/>
      <c r="CB167" s="1109"/>
      <c r="CC167" s="1109"/>
      <c r="CD167" s="1109"/>
      <c r="CE167" s="1109"/>
      <c r="CF167" s="1109"/>
      <c r="CG167" s="1109"/>
      <c r="CH167" s="1456"/>
    </row>
    <row r="168" spans="1:86" s="311" customFormat="1" ht="9.9499999999999993" customHeight="1">
      <c r="A168" s="3173"/>
      <c r="B168" s="3458"/>
      <c r="C168" s="3078"/>
      <c r="D168" s="143"/>
      <c r="E168" s="144"/>
      <c r="F168" s="144"/>
      <c r="G168" s="162"/>
      <c r="H168" s="162" t="s">
        <v>764</v>
      </c>
      <c r="I168" s="68" t="s">
        <v>1392</v>
      </c>
      <c r="J168" s="2240">
        <f>IF(A162="ja", J160+J156, "")</f>
        <v>0</v>
      </c>
      <c r="K168" s="2240">
        <f>IF(A162="ja", K160+K156-K161, "")</f>
        <v>0</v>
      </c>
      <c r="L168" s="446"/>
      <c r="M168" s="447"/>
      <c r="N168" s="1354" t="str">
        <f>IF(G109=0,"",IF(A162="ja", N160+N156, ""))</f>
        <v/>
      </c>
      <c r="O168" s="1355" t="str">
        <f>IF(G109=0,"",IF(A162="ja", O160+O156-O161, ""))</f>
        <v/>
      </c>
      <c r="P168" s="3333"/>
      <c r="Q168" s="2929"/>
      <c r="R168" s="3459" t="str">
        <f>IF(K7 = "BIO", "DGVE / ha DF","")</f>
        <v/>
      </c>
      <c r="S168" s="3407"/>
      <c r="T168" s="7"/>
      <c r="U168" s="7"/>
      <c r="V168" s="7"/>
      <c r="W168" s="7"/>
      <c r="X168" s="7"/>
      <c r="Y168" s="7"/>
      <c r="Z168" s="7"/>
      <c r="AA168" s="3539"/>
      <c r="AB168" s="3539"/>
      <c r="AC168" s="3539"/>
      <c r="AD168" s="3539"/>
      <c r="AE168" s="3539"/>
      <c r="AF168" s="3539"/>
      <c r="AG168" s="3539"/>
      <c r="AH168" s="3539"/>
      <c r="AI168" s="3539"/>
      <c r="AJ168" s="3539"/>
      <c r="AK168" s="3539"/>
      <c r="AT168" s="306"/>
      <c r="AY168" s="1453" t="s">
        <v>1430</v>
      </c>
      <c r="BK168" s="1453"/>
      <c r="BL168" s="1109"/>
      <c r="BM168" s="1109"/>
      <c r="BN168" s="1109"/>
      <c r="BO168" s="1109"/>
      <c r="BP168" s="1109"/>
      <c r="BQ168" s="1123"/>
      <c r="BR168" s="1109"/>
      <c r="BS168" s="1109"/>
      <c r="BT168" s="1109"/>
      <c r="BU168" s="1109"/>
      <c r="BV168" s="1109"/>
      <c r="BW168" s="1109"/>
      <c r="BX168" s="1109"/>
      <c r="BY168" s="1109"/>
      <c r="BZ168" s="1109"/>
      <c r="CA168" s="1109"/>
      <c r="CB168" s="1109"/>
      <c r="CC168" s="1109"/>
      <c r="CD168" s="1109"/>
      <c r="CE168" s="1109"/>
      <c r="CF168" s="1109"/>
      <c r="CG168" s="1109"/>
      <c r="CH168" s="1456"/>
    </row>
    <row r="169" spans="1:86" s="353" customFormat="1" ht="11.1" customHeight="1">
      <c r="A169" s="3460"/>
      <c r="B169" s="3461" t="str">
        <f>IF(S166&lt;&gt;""," Zonenangabe für DGVE/ha fehlt",IF(S169&lt;&gt;"",S169,IF(AND(K7="BIO",T148&lt;&gt;""),T148,IF(AND(K7="BIO",T126&lt;&gt;""),"Achtung: über 50% Nicht-BIO-Hofdünger!",IF(BG49=1," erhöhter Grundfutter-Ertrag -&gt; Ertragsschätzung nötig","")))))</f>
        <v/>
      </c>
      <c r="C169" s="3339"/>
      <c r="D169" s="3340"/>
      <c r="E169" s="3341"/>
      <c r="F169" s="3341"/>
      <c r="G169" s="3341"/>
      <c r="H169" s="3341"/>
      <c r="I169" s="3341"/>
      <c r="J169" s="3342" t="str">
        <f>IF(G109=0,"",IF(A162="ja",J168/J157, ""))</f>
        <v/>
      </c>
      <c r="K169" s="3342" t="str">
        <f>IF(G109=0,"",IF(A162="ja",K168/K157, ""))</f>
        <v/>
      </c>
      <c r="L169" s="3341"/>
      <c r="M169" s="3326" t="str">
        <f>IF(K7 = "BIO", "entspricht ","")</f>
        <v/>
      </c>
      <c r="N169" s="3343" t="str">
        <f>IF(AND(K7="BIO",A162="ja"),N168/(105*0.85*0.6),"")</f>
        <v/>
      </c>
      <c r="O169" s="3343" t="str">
        <f>IF(AND(K7="BIO",A162="ja"),O168/35,"")</f>
        <v/>
      </c>
      <c r="P169" s="3344" t="str">
        <f>IF(K7 = "BIO", " DGVE (Rind)","")</f>
        <v/>
      </c>
      <c r="Q169" s="3341"/>
      <c r="R169" s="3462" t="str">
        <f>IF(AND(K7="BIO",ISNUMBER( VLOOKUP(R166,BIO_DGVE_pro_ha,2,FALSE))),VLOOKUP(R166,BIO_DGVE_pro_ha,2,FALSE),"")</f>
        <v/>
      </c>
      <c r="S169" s="3463" t="str">
        <f>IF( K7= "BIO",IF(AND(ISNUMBER(R169),R169&gt;2.5),"&lt;- Höchstwert zu hoch ! (max. 2.5)",IF(OR(N169&gt;R169,O169&gt;R169),"DGVE-Höchstwert überschritten ","")), "")</f>
        <v/>
      </c>
      <c r="T169" s="1997"/>
      <c r="U169" s="1997"/>
      <c r="V169" s="1997"/>
      <c r="W169" s="1997"/>
      <c r="X169" s="1254"/>
      <c r="Y169" s="1254"/>
      <c r="Z169" s="117" t="str">
        <f>IF(K7="bio",K7,"")</f>
        <v/>
      </c>
      <c r="AA169" s="1998" t="str">
        <f>IF(Z169="BIO","DGVE-Höchstwerte je ha DF ","")</f>
        <v/>
      </c>
      <c r="AB169" s="1999"/>
      <c r="AC169" s="1999"/>
      <c r="AD169" s="1999"/>
      <c r="AE169" s="1999"/>
      <c r="AF169" s="1999" t="str">
        <f>IF(Z169="BIO","Ackerbau- und Übergangszonen  2.5","")</f>
        <v/>
      </c>
      <c r="AG169" s="2000"/>
      <c r="AH169" s="2000"/>
      <c r="AI169" s="2001"/>
      <c r="AJ169" s="2001"/>
      <c r="AK169" s="2023"/>
      <c r="AY169" s="1453" t="s">
        <v>1430</v>
      </c>
      <c r="BK169" s="1453"/>
      <c r="BL169" s="2002"/>
      <c r="BM169" s="2002"/>
      <c r="BN169" s="2002"/>
      <c r="BO169" s="2002"/>
      <c r="BP169" s="2002"/>
      <c r="BQ169" s="1257"/>
      <c r="BR169" s="1109"/>
      <c r="BS169" s="1109"/>
      <c r="BT169" s="1109"/>
      <c r="BU169" s="1109"/>
      <c r="BV169" s="1109"/>
      <c r="BW169" s="1109"/>
      <c r="BX169" s="1109"/>
      <c r="BY169" s="1109"/>
      <c r="BZ169" s="1109"/>
      <c r="CA169" s="2002"/>
      <c r="CB169" s="2002"/>
      <c r="CC169" s="2002"/>
      <c r="CD169" s="2002"/>
      <c r="CE169" s="2002"/>
      <c r="CF169" s="2002"/>
      <c r="CG169" s="2002"/>
      <c r="CH169" s="2003"/>
    </row>
    <row r="170" spans="1:86" s="352" customFormat="1" ht="5.0999999999999996" customHeight="1">
      <c r="A170" s="3345"/>
      <c r="B170" s="3079"/>
      <c r="C170" s="3079"/>
      <c r="D170" s="3079"/>
      <c r="E170" s="3079"/>
      <c r="F170" s="3079"/>
      <c r="G170" s="3079"/>
      <c r="H170" s="3079"/>
      <c r="I170" s="3079"/>
      <c r="J170" s="3346"/>
      <c r="K170" s="3347"/>
      <c r="L170" s="3339"/>
      <c r="M170" s="3348"/>
      <c r="N170" s="3347"/>
      <c r="O170" s="3347"/>
      <c r="P170" s="3347"/>
      <c r="Q170" s="3347"/>
      <c r="R170" s="3079"/>
      <c r="S170" s="3349"/>
      <c r="T170" s="23"/>
      <c r="U170" s="23"/>
      <c r="V170" s="23"/>
      <c r="W170" s="23"/>
      <c r="X170" s="23"/>
      <c r="Y170" s="23"/>
      <c r="Z170" s="1989"/>
      <c r="AA170" s="1990"/>
      <c r="AB170" s="1988"/>
      <c r="AC170" s="1988"/>
      <c r="AD170" s="1988"/>
      <c r="AE170" s="1988"/>
      <c r="AF170" s="1991"/>
      <c r="AG170" s="1992"/>
      <c r="AH170" s="1992"/>
      <c r="AI170" s="1991"/>
      <c r="AJ170" s="1991"/>
      <c r="AK170" s="2024"/>
      <c r="AT170" s="353"/>
      <c r="AY170" s="1452" t="s">
        <v>1424</v>
      </c>
      <c r="BK170" s="1452" t="s">
        <v>1424</v>
      </c>
      <c r="BL170" s="1113"/>
      <c r="BM170" s="1113"/>
      <c r="BN170" s="1113"/>
      <c r="BO170" s="1113"/>
      <c r="BP170" s="1113"/>
      <c r="BQ170" s="1123"/>
      <c r="BR170" s="1108"/>
      <c r="BS170" s="1108"/>
      <c r="BT170" s="1108"/>
      <c r="BU170" s="1108"/>
      <c r="BV170" s="1108"/>
      <c r="BW170" s="1108"/>
      <c r="BX170" s="1108"/>
      <c r="BY170" s="1108"/>
      <c r="BZ170" s="1108"/>
      <c r="CA170" s="1113"/>
      <c r="CB170" s="1113"/>
      <c r="CC170" s="1113"/>
      <c r="CD170" s="1113"/>
      <c r="CE170" s="1113"/>
      <c r="CF170" s="1113"/>
      <c r="CG170" s="1113"/>
      <c r="CH170" s="1466" t="s">
        <v>1430</v>
      </c>
    </row>
    <row r="171" spans="1:86" ht="12.95" customHeight="1">
      <c r="A171" s="3398"/>
      <c r="B171" s="165" t="s">
        <v>649</v>
      </c>
      <c r="C171" s="1754"/>
      <c r="D171" s="165" t="s">
        <v>765</v>
      </c>
      <c r="E171" s="166"/>
      <c r="F171" s="167"/>
      <c r="G171" s="167"/>
      <c r="H171" s="1755"/>
      <c r="I171" s="1756"/>
      <c r="J171" s="1754"/>
      <c r="K171" s="165" t="str">
        <f>Daten!E498</f>
        <v>Unterschrift ÖLN-Kontrolleur:</v>
      </c>
      <c r="L171" s="166"/>
      <c r="M171" s="167"/>
      <c r="N171" s="167"/>
      <c r="O171" s="1755"/>
      <c r="P171" s="1757"/>
      <c r="Q171" s="1758"/>
      <c r="R171" s="3079"/>
      <c r="S171" s="3213"/>
      <c r="T171" s="4"/>
      <c r="U171" s="4"/>
      <c r="V171" s="4"/>
      <c r="W171" s="4"/>
      <c r="X171" s="4"/>
      <c r="Y171" s="4"/>
      <c r="Z171" s="4"/>
      <c r="AA171" s="1988"/>
      <c r="AB171" s="1988"/>
      <c r="AC171" s="1988"/>
      <c r="AD171" s="1988"/>
      <c r="AE171" s="1988"/>
      <c r="AF171" s="1988" t="str">
        <f>IF(Z169="BIO","Voralpine Hügelzone                      2.1","")</f>
        <v/>
      </c>
      <c r="AG171" s="1992"/>
      <c r="AH171" s="1992"/>
      <c r="AI171" s="1991"/>
      <c r="AJ171" s="1991"/>
      <c r="AK171" s="2024"/>
      <c r="AL171" s="352"/>
      <c r="AT171" s="306"/>
      <c r="AY171" s="1452" t="s">
        <v>1424</v>
      </c>
      <c r="BK171" s="1452" t="s">
        <v>1424</v>
      </c>
      <c r="CH171" s="1455"/>
    </row>
    <row r="172" spans="1:86" ht="56.25" customHeight="1" thickBot="1">
      <c r="A172" s="3464" t="s">
        <v>2124</v>
      </c>
      <c r="B172" s="3291"/>
      <c r="C172" s="3199"/>
      <c r="D172" s="3291"/>
      <c r="E172" s="3465"/>
      <c r="F172" s="3199"/>
      <c r="G172" s="3199"/>
      <c r="H172" s="3199"/>
      <c r="I172" s="3466"/>
      <c r="J172" s="3199"/>
      <c r="K172" s="3291"/>
      <c r="L172" s="3465"/>
      <c r="M172" s="3199"/>
      <c r="N172" s="3199"/>
      <c r="O172" s="3199"/>
      <c r="P172" s="3465"/>
      <c r="Q172" s="3465"/>
      <c r="R172" s="3467"/>
      <c r="S172" s="3468"/>
      <c r="T172" s="3084"/>
      <c r="U172" s="3084"/>
      <c r="V172" s="3084"/>
      <c r="W172" s="3084"/>
      <c r="X172" s="3084"/>
      <c r="Y172" s="3084"/>
      <c r="Z172" s="3084"/>
      <c r="AA172" s="3541" t="str">
        <f>IF(Z169="BIO","Die Zertifizierungsstelle kann auf Antrag 
höhere Werte zulassen. 
Die Obergrenze von 2.5 kann jedoch 
keinesfalls überschritten werden.","")</f>
        <v/>
      </c>
      <c r="AB172" s="3541"/>
      <c r="AC172" s="3541"/>
      <c r="AD172" s="3541"/>
      <c r="AE172" s="3085"/>
      <c r="AF172" s="3542" t="str">
        <f>IF(Z169="BIO","Bergzone 1             1.8 
Bergzone 2             1.4 
Bergzone 3             1.2 
Bergzone 4             1.1","")</f>
        <v/>
      </c>
      <c r="AG172" s="3542"/>
      <c r="AH172" s="3542"/>
      <c r="AI172" s="3542"/>
      <c r="AJ172" s="3542"/>
      <c r="AK172" s="3086"/>
      <c r="AL172" s="3087"/>
      <c r="AM172" s="3087"/>
      <c r="AN172" s="3087"/>
      <c r="AO172" s="3087"/>
      <c r="AP172" s="3087"/>
      <c r="AQ172" s="3087"/>
      <c r="AR172" s="3087"/>
      <c r="AS172" s="3087"/>
      <c r="AT172" s="3088"/>
      <c r="AU172" s="3087"/>
      <c r="AV172" s="3087"/>
      <c r="AW172" s="3087"/>
      <c r="AX172" s="3087"/>
      <c r="AY172" s="3089" t="s">
        <v>1430</v>
      </c>
      <c r="AZ172" s="3087"/>
      <c r="BA172" s="3087"/>
      <c r="BB172" s="3087"/>
      <c r="BC172" s="3087"/>
      <c r="BD172" s="3087"/>
      <c r="BE172" s="3087"/>
      <c r="BF172" s="3087"/>
      <c r="BG172" s="3087"/>
      <c r="BH172" s="3087"/>
      <c r="BI172" s="3087"/>
      <c r="BJ172" s="3087"/>
      <c r="BK172" s="3089" t="s">
        <v>1430</v>
      </c>
      <c r="CH172" s="1455"/>
    </row>
    <row r="173" spans="1:86" ht="13.5">
      <c r="A173" s="3544" t="s">
        <v>2136</v>
      </c>
      <c r="B173" s="3544"/>
      <c r="C173" s="3544"/>
      <c r="D173" s="3544"/>
      <c r="E173" s="3544"/>
      <c r="F173" s="3544"/>
      <c r="G173" s="3544"/>
      <c r="H173" s="3544"/>
      <c r="I173" s="3544"/>
      <c r="J173" s="3544"/>
      <c r="K173" s="3544"/>
      <c r="L173" s="3544"/>
      <c r="M173" s="3544"/>
      <c r="N173" s="3544"/>
      <c r="O173" s="3544"/>
      <c r="P173" s="3544"/>
      <c r="Q173" s="3544"/>
      <c r="R173" s="3544"/>
      <c r="S173" s="3544"/>
      <c r="T173" s="3544"/>
      <c r="U173" s="3034"/>
      <c r="V173" s="3034"/>
      <c r="W173" s="3034"/>
      <c r="X173" s="3034"/>
      <c r="Y173" s="3034"/>
      <c r="Z173" s="3034"/>
      <c r="AA173" s="3117"/>
      <c r="AB173" s="3117"/>
      <c r="AC173" s="3117"/>
      <c r="AD173" s="3117"/>
      <c r="AE173" s="3118"/>
      <c r="AF173" s="3119"/>
      <c r="AG173" s="3119"/>
      <c r="AH173" s="3119"/>
      <c r="AI173" s="3119"/>
      <c r="AJ173" s="3119"/>
      <c r="AK173" s="3120"/>
      <c r="AL173" s="3082"/>
      <c r="AM173" s="3082"/>
      <c r="AN173" s="3082"/>
      <c r="AO173" s="3082"/>
      <c r="AP173" s="3082"/>
      <c r="AQ173" s="3082"/>
      <c r="AR173" s="3082"/>
      <c r="AS173" s="3082"/>
      <c r="AT173" s="3029"/>
      <c r="AU173" s="3082"/>
      <c r="AV173" s="3082"/>
      <c r="AW173" s="3082"/>
      <c r="AX173" s="3082"/>
      <c r="AY173" s="3083"/>
      <c r="AZ173" s="3082"/>
      <c r="BA173" s="3082"/>
      <c r="BB173" s="3082"/>
      <c r="BC173" s="3082"/>
      <c r="BD173" s="3082"/>
      <c r="BE173" s="3082"/>
      <c r="BF173" s="3082"/>
      <c r="BG173" s="3082"/>
      <c r="BH173" s="3082"/>
      <c r="BI173" s="3082"/>
      <c r="BJ173" s="3082"/>
      <c r="BK173" s="3083" t="s">
        <v>1430</v>
      </c>
      <c r="CH173" s="1455"/>
    </row>
    <row r="174" spans="1:86" ht="21.75" customHeight="1">
      <c r="A174" s="3073" t="s">
        <v>1832</v>
      </c>
      <c r="B174" s="3074"/>
      <c r="C174" s="3074"/>
      <c r="D174" s="3074"/>
      <c r="E174" s="3074"/>
      <c r="F174" s="3075"/>
      <c r="G174" s="3075"/>
      <c r="H174" s="3075"/>
      <c r="I174" s="3076"/>
      <c r="J174" s="3075"/>
      <c r="K174" s="3077"/>
      <c r="L174" s="3078"/>
      <c r="M174" s="3075"/>
      <c r="N174" s="3075"/>
      <c r="O174" s="3075"/>
      <c r="P174" s="3078"/>
      <c r="Q174" s="3078"/>
      <c r="R174" s="3079"/>
      <c r="S174" s="3034"/>
      <c r="T174" s="3034"/>
      <c r="U174" s="3034"/>
      <c r="V174" s="3080" t="s">
        <v>2123</v>
      </c>
      <c r="W174" s="3034"/>
      <c r="X174" s="3034"/>
      <c r="Y174" s="3034"/>
      <c r="Z174" s="3034"/>
      <c r="AA174" s="3080"/>
      <c r="AB174" s="3029"/>
      <c r="AC174" s="3081"/>
      <c r="AD174" s="3029"/>
      <c r="AE174" s="3082"/>
      <c r="AF174" s="3029"/>
      <c r="AG174" s="3029"/>
      <c r="AH174" s="3029"/>
      <c r="AI174" s="3029"/>
      <c r="AJ174" s="3082"/>
      <c r="AK174" s="3082"/>
      <c r="AL174" s="3082"/>
      <c r="AM174" s="3082"/>
      <c r="AN174" s="3082"/>
      <c r="AO174" s="3082"/>
      <c r="AP174" s="3082"/>
      <c r="AQ174" s="3082"/>
      <c r="AR174" s="3082"/>
      <c r="AS174" s="3082"/>
      <c r="AT174" s="3029"/>
      <c r="AU174" s="3082"/>
      <c r="AV174" s="3082"/>
      <c r="AW174" s="3082"/>
      <c r="AX174" s="3082"/>
      <c r="AY174" s="3083" t="s">
        <v>1430</v>
      </c>
      <c r="AZ174" s="3082"/>
      <c r="BA174" s="3082"/>
      <c r="BB174" s="3082"/>
      <c r="BC174" s="3082"/>
      <c r="BD174" s="3082"/>
      <c r="BE174" s="3082"/>
      <c r="BF174" s="3082"/>
      <c r="BG174" s="3082"/>
      <c r="BH174" s="3082"/>
      <c r="BI174" s="3082"/>
      <c r="BJ174" s="3082"/>
      <c r="BK174" s="3083" t="s">
        <v>1430</v>
      </c>
      <c r="CH174" s="1455"/>
    </row>
    <row r="175" spans="1:86" ht="21" customHeight="1" thickBot="1">
      <c r="A175" s="1708" t="s">
        <v>499</v>
      </c>
      <c r="B175" s="1705" t="s">
        <v>1029</v>
      </c>
      <c r="C175" s="1700"/>
      <c r="D175" s="1701"/>
      <c r="E175" s="1702"/>
      <c r="F175" s="1700"/>
      <c r="G175" s="1700"/>
      <c r="H175" s="1700"/>
      <c r="I175" s="1703"/>
      <c r="J175" s="1700"/>
      <c r="K175" s="1701"/>
      <c r="L175" s="1702"/>
      <c r="M175" s="1700"/>
      <c r="N175" s="1700"/>
      <c r="O175" s="1700"/>
      <c r="P175" s="1702"/>
      <c r="Q175" s="1702"/>
      <c r="R175" s="1704"/>
      <c r="S175" s="662"/>
      <c r="T175" s="4"/>
      <c r="U175" s="4"/>
      <c r="V175" s="4"/>
      <c r="W175" s="4"/>
      <c r="X175" s="4"/>
      <c r="Y175" s="4"/>
      <c r="Z175" s="4"/>
      <c r="AA175" s="306"/>
      <c r="AB175" s="306"/>
      <c r="AC175" s="354"/>
      <c r="AD175" s="306"/>
      <c r="AF175" s="306"/>
      <c r="AG175" s="306"/>
      <c r="AH175" s="306"/>
      <c r="AI175" s="306"/>
      <c r="AT175" s="306"/>
      <c r="AY175" s="1452" t="s">
        <v>1430</v>
      </c>
      <c r="BK175" s="1452"/>
      <c r="CH175" s="1455"/>
    </row>
    <row r="176" spans="1:86" ht="39.950000000000003" customHeight="1">
      <c r="A176" s="1697"/>
      <c r="B176" s="503"/>
      <c r="C176" s="486" t="str">
        <f>"Zur Nährstoffbilanz "&amp;K8</f>
        <v>Zur Nährstoffbilanz 2026</v>
      </c>
      <c r="D176" s="484"/>
      <c r="E176" s="486"/>
      <c r="F176" s="485"/>
      <c r="G176" s="485"/>
      <c r="H176" s="485"/>
      <c r="I176" s="487"/>
      <c r="J176" s="485"/>
      <c r="K176" s="484"/>
      <c r="L176" s="486"/>
      <c r="M176" s="485"/>
      <c r="N176" s="485"/>
      <c r="O176" s="485"/>
      <c r="P176" s="3489">
        <f ca="1">O8</f>
        <v>46091</v>
      </c>
      <c r="Q176" s="3490"/>
      <c r="R176" s="23"/>
      <c r="S176" s="662"/>
      <c r="T176" s="4"/>
      <c r="U176" s="4"/>
      <c r="V176" s="4"/>
      <c r="W176" s="4"/>
      <c r="X176" s="4"/>
      <c r="Y176" s="4"/>
      <c r="Z176" s="4"/>
      <c r="AA176" s="306"/>
      <c r="AB176" s="306"/>
      <c r="AC176" s="354"/>
      <c r="AD176" s="306"/>
      <c r="AF176" s="306"/>
      <c r="AG176" s="306"/>
      <c r="AH176" s="306"/>
      <c r="AI176" s="306"/>
      <c r="AT176" s="306"/>
      <c r="AY176" s="1452" t="s">
        <v>1430</v>
      </c>
      <c r="BK176" s="1452"/>
      <c r="CH176" s="1455"/>
    </row>
    <row r="177" spans="1:86" ht="20.100000000000001" customHeight="1">
      <c r="A177" s="1697"/>
      <c r="B177" s="1253"/>
      <c r="C177" s="311" t="str">
        <f>C8&amp;", "&amp;C9&amp;", Betr.Nr."&amp;I8</f>
        <v xml:space="preserve">  Original, , Betr.Nr.</v>
      </c>
      <c r="D177" s="12"/>
      <c r="E177" s="7"/>
      <c r="F177" s="9"/>
      <c r="G177" s="9"/>
      <c r="H177" s="9"/>
      <c r="I177" s="476"/>
      <c r="J177" s="9"/>
      <c r="K177" s="12"/>
      <c r="L177" s="7"/>
      <c r="M177" s="9"/>
      <c r="N177" s="3543" t="s">
        <v>1088</v>
      </c>
      <c r="O177" s="3543"/>
      <c r="P177" s="504"/>
      <c r="Q177" s="505"/>
      <c r="R177" s="1254"/>
      <c r="S177" s="662"/>
      <c r="T177" s="4"/>
      <c r="U177" s="4"/>
      <c r="V177" s="4"/>
      <c r="W177" s="4"/>
      <c r="X177" s="4"/>
      <c r="Y177" s="4"/>
      <c r="Z177" s="4"/>
      <c r="AA177" s="306"/>
      <c r="AB177" s="306"/>
      <c r="AC177" s="354"/>
      <c r="AD177" s="306"/>
      <c r="AF177" s="306"/>
      <c r="AG177" s="306"/>
      <c r="AH177" s="306"/>
      <c r="AI177" s="306"/>
      <c r="AT177" s="306"/>
      <c r="AY177" s="1452" t="s">
        <v>1430</v>
      </c>
      <c r="BK177" s="1452"/>
      <c r="CH177" s="1455"/>
    </row>
    <row r="178" spans="1:86" ht="5.0999999999999996" customHeight="1">
      <c r="A178" s="1697"/>
      <c r="B178" s="500"/>
      <c r="C178" s="320"/>
      <c r="D178" s="12"/>
      <c r="E178" s="7"/>
      <c r="F178" s="9"/>
      <c r="G178" s="9"/>
      <c r="H178" s="9"/>
      <c r="I178" s="476"/>
      <c r="J178" s="9"/>
      <c r="K178" s="12"/>
      <c r="L178" s="7"/>
      <c r="M178" s="9"/>
      <c r="N178" s="9"/>
      <c r="O178" s="9"/>
      <c r="P178" s="504"/>
      <c r="Q178" s="505"/>
      <c r="R178" s="23"/>
      <c r="S178" s="662"/>
      <c r="T178" s="4"/>
      <c r="U178" s="4"/>
      <c r="V178" s="4"/>
      <c r="W178" s="4"/>
      <c r="X178" s="4"/>
      <c r="Y178" s="4"/>
      <c r="Z178" s="4"/>
      <c r="AA178" s="306"/>
      <c r="AB178" s="306"/>
      <c r="AC178" s="354"/>
      <c r="AD178" s="306"/>
      <c r="AF178" s="306"/>
      <c r="AG178" s="306"/>
      <c r="AH178" s="306"/>
      <c r="AI178" s="306"/>
      <c r="AT178" s="306"/>
      <c r="AY178" s="1452" t="s">
        <v>1430</v>
      </c>
      <c r="BK178" s="1452"/>
      <c r="CH178" s="1455"/>
    </row>
    <row r="179" spans="1:86" s="350" customFormat="1" ht="15" customHeight="1">
      <c r="A179" s="1697"/>
      <c r="B179" s="500"/>
      <c r="C179" s="7"/>
      <c r="D179" s="7"/>
      <c r="E179" s="7"/>
      <c r="F179" s="7"/>
      <c r="G179" s="7"/>
      <c r="H179" s="9"/>
      <c r="I179" s="135"/>
      <c r="J179" s="1344" t="s">
        <v>732</v>
      </c>
      <c r="K179" s="1344" t="s">
        <v>733</v>
      </c>
      <c r="L179" s="483"/>
      <c r="M179" s="483"/>
      <c r="N179" s="1352" t="s">
        <v>732</v>
      </c>
      <c r="O179" s="1344" t="s">
        <v>733</v>
      </c>
      <c r="P179" s="308"/>
      <c r="Q179" s="488"/>
      <c r="R179" s="7"/>
      <c r="S179" s="1702"/>
      <c r="T179" s="7"/>
      <c r="U179" s="7"/>
      <c r="V179" s="7"/>
      <c r="W179" s="7"/>
      <c r="X179" s="7"/>
      <c r="Y179" s="7"/>
      <c r="Z179" s="7"/>
      <c r="AA179" s="306"/>
      <c r="AB179" s="306"/>
      <c r="AC179" s="348"/>
      <c r="AD179" s="348"/>
      <c r="AE179" s="348"/>
      <c r="AF179" s="348"/>
      <c r="AG179" s="348"/>
      <c r="AH179" s="318"/>
      <c r="AI179" s="349"/>
      <c r="AJ179" s="319"/>
      <c r="AK179" s="349"/>
      <c r="AY179" s="1453" t="s">
        <v>1430</v>
      </c>
      <c r="BK179" s="1453"/>
      <c r="BL179" s="1114"/>
      <c r="BM179" s="1114"/>
      <c r="BN179" s="1114"/>
      <c r="BO179" s="1114"/>
      <c r="BP179" s="1114"/>
      <c r="BQ179" s="1123"/>
      <c r="BR179" s="1114"/>
      <c r="BS179" s="1114"/>
      <c r="BT179" s="1114"/>
      <c r="BU179" s="1114"/>
      <c r="BV179" s="1114"/>
      <c r="BW179" s="1114"/>
      <c r="BX179" s="1114"/>
      <c r="BY179" s="1114"/>
      <c r="BZ179" s="1114"/>
      <c r="CA179" s="1114"/>
      <c r="CB179" s="1114"/>
      <c r="CC179" s="1114"/>
      <c r="CD179" s="1114"/>
      <c r="CE179" s="1114"/>
      <c r="CF179" s="1114"/>
      <c r="CG179" s="1114"/>
      <c r="CH179" s="1467"/>
    </row>
    <row r="180" spans="1:86" s="350" customFormat="1" ht="12" customHeight="1">
      <c r="A180" s="1697"/>
      <c r="B180" s="499" t="str">
        <f>B164</f>
        <v>ÖLN:</v>
      </c>
      <c r="C180" s="501" t="s">
        <v>740</v>
      </c>
      <c r="D180" s="8"/>
      <c r="E180" s="8"/>
      <c r="F180" s="8"/>
      <c r="G180" s="8"/>
      <c r="H180" s="171"/>
      <c r="I180" s="171" t="s">
        <v>1340</v>
      </c>
      <c r="J180" s="2241">
        <f>-J158+J164</f>
        <v>0</v>
      </c>
      <c r="K180" s="2242">
        <f>-K158+K164+K161</f>
        <v>0</v>
      </c>
      <c r="L180" s="439"/>
      <c r="M180" s="440"/>
      <c r="N180" s="441" t="e">
        <f>-N158+N164</f>
        <v>#VALUE!</v>
      </c>
      <c r="O180" s="442" t="e">
        <f>-O158+O164+O161</f>
        <v>#VALUE!</v>
      </c>
      <c r="P180" s="308"/>
      <c r="Q180" s="488"/>
      <c r="R180" s="9"/>
      <c r="S180" s="1700"/>
      <c r="T180" s="9"/>
      <c r="U180" s="9"/>
      <c r="V180" s="9"/>
      <c r="W180" s="9"/>
      <c r="X180" s="9"/>
      <c r="Y180" s="9"/>
      <c r="Z180" s="9"/>
      <c r="AA180" s="335" t="s">
        <v>565</v>
      </c>
      <c r="AB180" s="335"/>
      <c r="AC180" s="348"/>
      <c r="AD180" s="348"/>
      <c r="AE180" s="348"/>
      <c r="AF180" s="348"/>
      <c r="AG180" s="348"/>
      <c r="AH180" s="318"/>
      <c r="AI180" s="318"/>
      <c r="AJ180" s="349"/>
      <c r="AK180" s="349"/>
      <c r="AY180" s="1453" t="s">
        <v>1430</v>
      </c>
      <c r="BK180" s="1453"/>
      <c r="BL180" s="1114"/>
      <c r="BM180" s="1114"/>
      <c r="BN180" s="1114"/>
      <c r="BO180" s="1114"/>
      <c r="BP180" s="1114"/>
      <c r="BQ180" s="1123"/>
      <c r="BR180" s="1114"/>
      <c r="BS180" s="1114"/>
      <c r="BT180" s="1114"/>
      <c r="BU180" s="1114"/>
      <c r="BV180" s="1114"/>
      <c r="BW180" s="1114"/>
      <c r="BX180" s="1114"/>
      <c r="BY180" s="1114"/>
      <c r="BZ180" s="1114"/>
      <c r="CA180" s="1114"/>
      <c r="CB180" s="1114"/>
      <c r="CC180" s="1114"/>
      <c r="CD180" s="1114"/>
      <c r="CE180" s="1114"/>
      <c r="CF180" s="1114"/>
      <c r="CG180" s="1114"/>
      <c r="CH180" s="1467"/>
    </row>
    <row r="181" spans="1:86" s="350" customFormat="1" ht="17.25" customHeight="1">
      <c r="A181" s="1698"/>
      <c r="B181" s="500" t="s">
        <v>1030</v>
      </c>
      <c r="C181" s="477"/>
      <c r="D181" s="477"/>
      <c r="E181" s="477"/>
      <c r="F181" s="477"/>
      <c r="G181" s="477"/>
      <c r="H181" s="478"/>
      <c r="I181" s="478"/>
      <c r="J181" s="2243">
        <f>N148</f>
        <v>0</v>
      </c>
      <c r="K181" s="2244">
        <f>O148</f>
        <v>0</v>
      </c>
      <c r="L181" s="479"/>
      <c r="M181" s="479"/>
      <c r="N181" s="482" t="str">
        <f>N160</f>
        <v/>
      </c>
      <c r="O181" s="482" t="str">
        <f>O160</f>
        <v/>
      </c>
      <c r="P181" s="466"/>
      <c r="Q181" s="489"/>
      <c r="R181" s="9"/>
      <c r="S181" s="1700"/>
      <c r="T181" s="9"/>
      <c r="U181" s="9"/>
      <c r="V181" s="9"/>
      <c r="W181" s="9"/>
      <c r="X181" s="9"/>
      <c r="Y181" s="9"/>
      <c r="Z181" s="9"/>
      <c r="AA181" s="335"/>
      <c r="AB181" s="335" t="s">
        <v>566</v>
      </c>
      <c r="AC181" s="348"/>
      <c r="AD181" s="348"/>
      <c r="AE181" s="348"/>
      <c r="AF181" s="348"/>
      <c r="AG181" s="348"/>
      <c r="AH181" s="318"/>
      <c r="AI181" s="318"/>
      <c r="AJ181" s="349"/>
      <c r="AK181" s="349"/>
      <c r="AY181" s="1453" t="s">
        <v>1430</v>
      </c>
      <c r="BK181" s="1453"/>
      <c r="BL181" s="1114"/>
      <c r="BM181" s="1114"/>
      <c r="BN181" s="1114"/>
      <c r="BO181" s="1114"/>
      <c r="BP181" s="1114"/>
      <c r="BQ181" s="1123"/>
      <c r="BR181" s="1114"/>
      <c r="BS181" s="1114"/>
      <c r="BT181" s="1114"/>
      <c r="BU181" s="1114"/>
      <c r="BV181" s="1114"/>
      <c r="BW181" s="1114"/>
      <c r="BX181" s="1114"/>
      <c r="BY181" s="1114"/>
      <c r="BZ181" s="1114"/>
      <c r="CA181" s="1114"/>
      <c r="CB181" s="1114"/>
      <c r="CC181" s="1114"/>
      <c r="CD181" s="1114"/>
      <c r="CE181" s="1114"/>
      <c r="CF181" s="1114"/>
      <c r="CG181" s="1114"/>
      <c r="CH181" s="1467"/>
    </row>
    <row r="182" spans="1:86" s="350" customFormat="1" ht="6.95" customHeight="1" thickBot="1">
      <c r="A182" s="1699"/>
      <c r="B182" s="490"/>
      <c r="C182" s="491"/>
      <c r="D182" s="491"/>
      <c r="E182" s="491"/>
      <c r="F182" s="491"/>
      <c r="G182" s="491"/>
      <c r="H182" s="492"/>
      <c r="I182" s="492"/>
      <c r="J182" s="493"/>
      <c r="K182" s="494"/>
      <c r="L182" s="495"/>
      <c r="M182" s="495"/>
      <c r="N182" s="496"/>
      <c r="O182" s="496"/>
      <c r="P182" s="497"/>
      <c r="Q182" s="498"/>
      <c r="R182" s="9"/>
      <c r="S182" s="1700"/>
      <c r="T182" s="9"/>
      <c r="U182" s="9"/>
      <c r="V182" s="9"/>
      <c r="W182" s="9"/>
      <c r="X182" s="9"/>
      <c r="Y182" s="9"/>
      <c r="Z182" s="9"/>
      <c r="AA182" s="335"/>
      <c r="AB182" s="335"/>
      <c r="AC182" s="348"/>
      <c r="AD182" s="348"/>
      <c r="AE182" s="348"/>
      <c r="AF182" s="348"/>
      <c r="AG182" s="348"/>
      <c r="AH182" s="318"/>
      <c r="AI182" s="321"/>
      <c r="AJ182" s="349"/>
      <c r="AK182" s="349"/>
      <c r="AY182" s="1453" t="s">
        <v>1430</v>
      </c>
      <c r="BK182" s="1453"/>
      <c r="BL182" s="1114"/>
      <c r="BM182" s="1114"/>
      <c r="BN182" s="1114"/>
      <c r="BO182" s="1114"/>
      <c r="BP182" s="1114"/>
      <c r="BQ182" s="1123"/>
      <c r="BR182" s="1114"/>
      <c r="BS182" s="1114"/>
      <c r="BT182" s="1114"/>
      <c r="BU182" s="1114"/>
      <c r="BV182" s="1114"/>
      <c r="BW182" s="1114"/>
      <c r="BX182" s="1114"/>
      <c r="BY182" s="1114"/>
      <c r="BZ182" s="1114"/>
      <c r="CA182" s="1114"/>
      <c r="CB182" s="1114"/>
      <c r="CC182" s="1114"/>
      <c r="CD182" s="1114"/>
      <c r="CE182" s="1114"/>
      <c r="CF182" s="1114"/>
      <c r="CG182" s="1114"/>
      <c r="CH182" s="1467"/>
    </row>
    <row r="183" spans="1:86" s="350" customFormat="1" ht="20.100000000000001" customHeight="1">
      <c r="A183" s="1699"/>
      <c r="B183" s="1298"/>
      <c r="C183" s="1299" t="s">
        <v>1429</v>
      </c>
      <c r="D183" s="1299"/>
      <c r="E183" s="1299"/>
      <c r="F183" s="1299"/>
      <c r="G183" s="1299"/>
      <c r="H183" s="1300"/>
      <c r="I183" s="1300"/>
      <c r="J183" s="2245">
        <f>ROUND(J180-J181,0)</f>
        <v>0</v>
      </c>
      <c r="K183" s="2245">
        <f>ROUND(K180-K181,0)</f>
        <v>0</v>
      </c>
      <c r="L183" s="1302"/>
      <c r="M183" s="1302"/>
      <c r="N183" s="1301" t="e">
        <f>N180-N181</f>
        <v>#VALUE!</v>
      </c>
      <c r="O183" s="1301" t="e">
        <f>O180-O181</f>
        <v>#VALUE!</v>
      </c>
      <c r="P183" s="1303"/>
      <c r="Q183" s="1303"/>
      <c r="R183" s="9"/>
      <c r="S183" s="1700"/>
      <c r="T183" s="9"/>
      <c r="U183" s="9"/>
      <c r="V183" s="9"/>
      <c r="W183" s="9"/>
      <c r="X183" s="9"/>
      <c r="Y183" s="9"/>
      <c r="Z183" s="9"/>
      <c r="AA183" s="335"/>
      <c r="AB183" s="335"/>
      <c r="AC183" s="348"/>
      <c r="AD183" s="348"/>
      <c r="AE183" s="348"/>
      <c r="AF183" s="348"/>
      <c r="AG183" s="348"/>
      <c r="AH183" s="318"/>
      <c r="AI183" s="321"/>
      <c r="AJ183" s="349"/>
      <c r="AK183" s="349"/>
      <c r="AY183" s="1453" t="s">
        <v>1430</v>
      </c>
      <c r="BK183" s="1453"/>
      <c r="BL183" s="1114"/>
      <c r="BM183" s="1114"/>
      <c r="BN183" s="1114"/>
      <c r="BO183" s="1114"/>
      <c r="BP183" s="1114"/>
      <c r="BQ183" s="1123"/>
      <c r="BR183" s="1114"/>
      <c r="BS183" s="1114"/>
      <c r="BT183" s="1114"/>
      <c r="BU183" s="1114"/>
      <c r="BV183" s="1114"/>
      <c r="BW183" s="1114"/>
      <c r="BX183" s="1114"/>
      <c r="BY183" s="1114"/>
      <c r="BZ183" s="1114"/>
      <c r="CA183" s="1114"/>
      <c r="CB183" s="1114"/>
      <c r="CC183" s="1114"/>
      <c r="CD183" s="1114"/>
      <c r="CE183" s="1114"/>
      <c r="CF183" s="1114"/>
      <c r="CG183" s="1114"/>
      <c r="CH183" s="1467"/>
    </row>
    <row r="184" spans="1:86" s="350" customFormat="1" ht="24.75" customHeight="1">
      <c r="A184" s="1697"/>
      <c r="B184" s="315"/>
      <c r="C184" s="589"/>
      <c r="D184" s="589"/>
      <c r="E184" s="589"/>
      <c r="F184" s="589"/>
      <c r="G184" s="589"/>
      <c r="H184" s="590"/>
      <c r="I184" s="590"/>
      <c r="J184" s="2246" t="str">
        <f>IF(J183&lt;0, "bereits zu viel N ausgebracht  ", IF(J185&gt;J183,"zu viel N geplant  ",""))</f>
        <v/>
      </c>
      <c r="K184" s="2247" t="str">
        <f>IF( K183&lt;0, "  bereits zuviel P ausgebracht", IF(K185&gt;K183,"  zu viel P geplant",""))</f>
        <v/>
      </c>
      <c r="L184" s="479"/>
      <c r="M184" s="479"/>
      <c r="N184" s="481"/>
      <c r="O184" s="481"/>
      <c r="P184" s="466"/>
      <c r="Q184" s="466"/>
      <c r="R184" s="9"/>
      <c r="S184" s="1700"/>
      <c r="T184" s="9"/>
      <c r="U184" s="9"/>
      <c r="V184" s="9"/>
      <c r="W184" s="9"/>
      <c r="X184" s="9"/>
      <c r="Y184" s="9"/>
      <c r="Z184" s="9"/>
      <c r="AA184" s="335"/>
      <c r="AB184" s="335"/>
      <c r="AC184" s="348"/>
      <c r="AD184" s="348"/>
      <c r="AE184" s="348"/>
      <c r="AF184" s="348"/>
      <c r="AG184" s="348"/>
      <c r="AH184" s="318"/>
      <c r="AI184" s="318"/>
      <c r="AJ184" s="349"/>
      <c r="AK184" s="349"/>
      <c r="AY184" s="1453" t="s">
        <v>1430</v>
      </c>
      <c r="BK184" s="1453"/>
      <c r="BL184" s="1114"/>
      <c r="BM184" s="1114"/>
      <c r="BN184" s="1114"/>
      <c r="BO184" s="1114"/>
      <c r="BP184" s="1114"/>
      <c r="BQ184" s="1123"/>
      <c r="BR184" s="1114"/>
      <c r="BS184" s="1114"/>
      <c r="BT184" s="1114"/>
      <c r="BU184" s="1114"/>
      <c r="BV184" s="1114"/>
      <c r="BW184" s="1114"/>
      <c r="BX184" s="1114"/>
      <c r="BY184" s="1114"/>
      <c r="BZ184" s="1114"/>
      <c r="CA184" s="1114"/>
      <c r="CB184" s="1114"/>
      <c r="CC184" s="1114"/>
      <c r="CD184" s="1114"/>
      <c r="CE184" s="1114"/>
      <c r="CF184" s="1114"/>
      <c r="CG184" s="1114"/>
      <c r="CH184" s="1467"/>
    </row>
    <row r="185" spans="1:86" s="350" customFormat="1" ht="15" customHeight="1">
      <c r="A185" s="1699"/>
      <c r="B185" s="591" t="s">
        <v>930</v>
      </c>
      <c r="C185" s="592"/>
      <c r="D185" s="592"/>
      <c r="E185" s="592"/>
      <c r="F185" s="592"/>
      <c r="G185" s="592"/>
      <c r="H185" s="593"/>
      <c r="I185" s="593"/>
      <c r="J185" s="2248">
        <f>ROUND(SUM(J188:J192),0)</f>
        <v>0</v>
      </c>
      <c r="K185" s="2248">
        <f>ROUND(SUM(K188:K192),0)</f>
        <v>0</v>
      </c>
      <c r="L185" s="586"/>
      <c r="M185" s="586"/>
      <c r="N185" s="587" t="e">
        <f>J185/G109</f>
        <v>#DIV/0!</v>
      </c>
      <c r="O185" s="587" t="e">
        <f>K185/G109</f>
        <v>#DIV/0!</v>
      </c>
      <c r="P185" s="308"/>
      <c r="Q185" s="466"/>
      <c r="R185" s="9"/>
      <c r="S185" s="1700"/>
      <c r="T185" s="9"/>
      <c r="U185" s="9"/>
      <c r="V185" s="9"/>
      <c r="W185" s="9"/>
      <c r="X185" s="9"/>
      <c r="Y185" s="9"/>
      <c r="Z185" s="9"/>
      <c r="AA185" s="335"/>
      <c r="AB185" s="335"/>
      <c r="AC185" s="348"/>
      <c r="AD185" s="348"/>
      <c r="AE185" s="348"/>
      <c r="AF185" s="348"/>
      <c r="AG185" s="348"/>
      <c r="AH185" s="318"/>
      <c r="AI185" s="318"/>
      <c r="AJ185" s="349"/>
      <c r="AK185" s="349"/>
      <c r="AY185" s="1453" t="s">
        <v>1430</v>
      </c>
      <c r="BK185" s="1453"/>
      <c r="BL185" s="1114"/>
      <c r="BM185" s="1114"/>
      <c r="BN185" s="1114"/>
      <c r="BO185" s="1114"/>
      <c r="BP185" s="1114"/>
      <c r="BQ185" s="1123"/>
      <c r="BR185" s="1114"/>
      <c r="BS185" s="1114"/>
      <c r="BT185" s="1114"/>
      <c r="BU185" s="1114"/>
      <c r="BV185" s="1114"/>
      <c r="BW185" s="1114"/>
      <c r="BX185" s="1114"/>
      <c r="BY185" s="1114"/>
      <c r="BZ185" s="1114"/>
      <c r="CA185" s="1114"/>
      <c r="CB185" s="1114"/>
      <c r="CC185" s="1114"/>
      <c r="CD185" s="1114"/>
      <c r="CE185" s="1114"/>
      <c r="CF185" s="1114"/>
      <c r="CG185" s="1114"/>
      <c r="CH185" s="1467"/>
    </row>
    <row r="186" spans="1:86" s="350" customFormat="1">
      <c r="A186" s="1697"/>
      <c r="C186" s="589"/>
      <c r="D186" s="589"/>
      <c r="E186" s="589"/>
      <c r="F186" s="589"/>
      <c r="G186" s="589"/>
      <c r="H186" s="3565" t="s">
        <v>1272</v>
      </c>
      <c r="I186" s="3566"/>
      <c r="P186" s="466"/>
      <c r="Q186" s="466"/>
      <c r="R186" s="9"/>
      <c r="S186" s="1700"/>
      <c r="T186" s="9"/>
      <c r="U186" s="9"/>
      <c r="V186" s="9"/>
      <c r="W186" s="9"/>
      <c r="X186" s="9"/>
      <c r="Y186" s="9"/>
      <c r="Z186" s="9"/>
      <c r="AA186" s="335"/>
      <c r="AB186" s="335"/>
      <c r="AC186" s="348"/>
      <c r="AD186" s="348"/>
      <c r="AE186" s="348"/>
      <c r="AF186" s="348"/>
      <c r="AG186" s="348"/>
      <c r="AH186" s="318"/>
      <c r="AI186" s="318"/>
      <c r="AJ186" s="349"/>
      <c r="AK186" s="349"/>
      <c r="AY186" s="1453" t="s">
        <v>1430</v>
      </c>
      <c r="BK186" s="1453"/>
      <c r="BL186" s="1114"/>
      <c r="BM186" s="1114"/>
      <c r="BN186" s="1114"/>
      <c r="BO186" s="1114"/>
      <c r="BP186" s="1114"/>
      <c r="BQ186" s="1123"/>
      <c r="BR186" s="1114"/>
      <c r="BS186" s="1114"/>
      <c r="BT186" s="1114"/>
      <c r="BU186" s="1114"/>
      <c r="BV186" s="1114"/>
      <c r="BW186" s="1114"/>
      <c r="BX186" s="1114"/>
      <c r="BY186" s="1114"/>
      <c r="BZ186" s="1114"/>
      <c r="CA186" s="1114"/>
      <c r="CB186" s="1114"/>
      <c r="CC186" s="1114"/>
      <c r="CD186" s="1114"/>
      <c r="CE186" s="1114"/>
      <c r="CF186" s="1114"/>
      <c r="CG186" s="1114"/>
      <c r="CH186" s="1467"/>
    </row>
    <row r="187" spans="1:86" s="350" customFormat="1">
      <c r="A187" s="1697"/>
      <c r="C187" s="594" t="s">
        <v>1271</v>
      </c>
      <c r="D187" s="594"/>
      <c r="E187" s="594"/>
      <c r="F187" s="594" t="s">
        <v>59</v>
      </c>
      <c r="G187" s="594" t="s">
        <v>52</v>
      </c>
      <c r="H187" s="595" t="s">
        <v>700</v>
      </c>
      <c r="I187" s="595" t="s">
        <v>585</v>
      </c>
      <c r="J187" s="584"/>
      <c r="K187" s="585"/>
      <c r="L187" s="479"/>
      <c r="M187" s="479"/>
      <c r="P187" s="466"/>
      <c r="Q187" s="466"/>
      <c r="R187" s="9"/>
      <c r="S187" s="1700"/>
      <c r="T187" s="9"/>
      <c r="U187" s="9"/>
      <c r="V187" s="9"/>
      <c r="W187" s="9"/>
      <c r="X187" s="9"/>
      <c r="Y187" s="9"/>
      <c r="Z187" s="9"/>
      <c r="AA187" s="326" t="s">
        <v>484</v>
      </c>
      <c r="AB187" s="335"/>
      <c r="AC187" s="348"/>
      <c r="AD187" s="348"/>
      <c r="AE187" s="348"/>
      <c r="AF187" s="348"/>
      <c r="AG187" s="348"/>
      <c r="AH187" s="318"/>
      <c r="AI187" s="318"/>
      <c r="AJ187" s="349"/>
      <c r="AK187" s="349"/>
      <c r="AY187" s="1453" t="s">
        <v>1430</v>
      </c>
      <c r="BK187" s="1453"/>
      <c r="BL187" s="1114"/>
      <c r="BM187" s="1114"/>
      <c r="BN187" s="1114"/>
      <c r="BO187" s="1114"/>
      <c r="BP187" s="1114"/>
      <c r="BQ187" s="1123"/>
      <c r="BR187" s="1114"/>
      <c r="BS187" s="1114"/>
      <c r="BT187" s="1114"/>
      <c r="BU187" s="1114"/>
      <c r="BV187" s="1114"/>
      <c r="BW187" s="1114"/>
      <c r="BX187" s="1114"/>
      <c r="BY187" s="1114"/>
      <c r="BZ187" s="1114"/>
      <c r="CA187" s="1114"/>
      <c r="CB187" s="1114"/>
      <c r="CC187" s="1114"/>
      <c r="CD187" s="1114"/>
      <c r="CE187" s="1114"/>
      <c r="CF187" s="1114"/>
      <c r="CG187" s="1114"/>
      <c r="CH187" s="1467"/>
    </row>
    <row r="188" spans="1:86" s="350" customFormat="1">
      <c r="A188" s="1697"/>
      <c r="B188" s="1340" t="s">
        <v>1268</v>
      </c>
      <c r="C188" s="3564"/>
      <c r="D188" s="3564"/>
      <c r="E188" s="3564"/>
      <c r="F188" s="2249"/>
      <c r="G188" s="588" t="s">
        <v>584</v>
      </c>
      <c r="H188" s="1350"/>
      <c r="I188" s="1350"/>
      <c r="J188" s="2252" t="str">
        <f>IF(ISNUMBER(F188),F188*H188,"")</f>
        <v/>
      </c>
      <c r="K188" s="2252" t="str">
        <f>IF(ISNUMBER(F188),F188*I188,"")</f>
        <v/>
      </c>
      <c r="L188" s="479"/>
      <c r="M188" s="479"/>
      <c r="N188" s="583"/>
      <c r="O188" s="583"/>
      <c r="P188" s="466"/>
      <c r="Q188" s="466"/>
      <c r="R188" s="9"/>
      <c r="S188" s="1700"/>
      <c r="T188" s="9"/>
      <c r="U188" s="9"/>
      <c r="V188" s="9"/>
      <c r="W188" s="9"/>
      <c r="X188" s="9"/>
      <c r="Y188" s="9"/>
      <c r="Z188" s="9"/>
      <c r="AA188" s="335"/>
      <c r="AB188" s="335"/>
      <c r="AC188" s="348"/>
      <c r="AD188" s="348"/>
      <c r="AE188" s="348"/>
      <c r="AF188" s="348"/>
      <c r="AG188" s="348"/>
      <c r="AH188" s="318"/>
      <c r="AI188" s="318"/>
      <c r="AJ188" s="349"/>
      <c r="AK188" s="349"/>
      <c r="AY188" s="1453" t="s">
        <v>1430</v>
      </c>
      <c r="BK188" s="1453"/>
      <c r="BL188" s="1114"/>
      <c r="BM188" s="1114"/>
      <c r="BN188" s="1114"/>
      <c r="BO188" s="1114"/>
      <c r="BP188" s="1114"/>
      <c r="BQ188" s="1123"/>
      <c r="BR188" s="1114"/>
      <c r="BS188" s="1114"/>
      <c r="BT188" s="1114"/>
      <c r="BU188" s="1114"/>
      <c r="BV188" s="1114"/>
      <c r="BW188" s="1114"/>
      <c r="BX188" s="1114"/>
      <c r="BY188" s="1114"/>
      <c r="BZ188" s="1114"/>
      <c r="CA188" s="1114"/>
      <c r="CB188" s="1114"/>
      <c r="CC188" s="1114"/>
      <c r="CD188" s="1114"/>
      <c r="CE188" s="1114"/>
      <c r="CF188" s="1114"/>
      <c r="CG188" s="1114"/>
      <c r="CH188" s="1467"/>
    </row>
    <row r="189" spans="1:86" s="350" customFormat="1">
      <c r="A189" s="1697"/>
      <c r="B189" s="1340" t="s">
        <v>1269</v>
      </c>
      <c r="C189" s="3563"/>
      <c r="D189" s="3563"/>
      <c r="E189" s="3563"/>
      <c r="F189" s="2250"/>
      <c r="G189" s="1341" t="s">
        <v>933</v>
      </c>
      <c r="H189" s="1351"/>
      <c r="I189" s="1351"/>
      <c r="J189" s="2252" t="str">
        <f>IF(ISNUMBER(F189),F189*H189,"")</f>
        <v/>
      </c>
      <c r="K189" s="2252" t="str">
        <f>IF(ISNUMBER(F189),F189*I189,"")</f>
        <v/>
      </c>
      <c r="L189" s="479"/>
      <c r="M189" s="479"/>
      <c r="N189" s="480"/>
      <c r="O189" s="480"/>
      <c r="P189" s="466"/>
      <c r="Q189" s="466"/>
      <c r="R189" s="9"/>
      <c r="S189" s="1700"/>
      <c r="T189" s="9"/>
      <c r="U189" s="9"/>
      <c r="V189" s="9"/>
      <c r="W189" s="9"/>
      <c r="X189" s="9"/>
      <c r="Y189" s="9"/>
      <c r="Z189" s="9"/>
      <c r="AA189" s="335"/>
      <c r="AB189" s="335"/>
      <c r="AC189" s="348"/>
      <c r="AD189" s="348"/>
      <c r="AE189" s="348"/>
      <c r="AF189" s="348"/>
      <c r="AG189" s="348"/>
      <c r="AH189" s="318"/>
      <c r="AI189" s="318"/>
      <c r="AJ189" s="349"/>
      <c r="AK189" s="349"/>
      <c r="AY189" s="1453" t="s">
        <v>1430</v>
      </c>
      <c r="BK189" s="1453"/>
      <c r="BL189" s="1114"/>
      <c r="BM189" s="1114"/>
      <c r="BN189" s="1114"/>
      <c r="BO189" s="1114"/>
      <c r="BP189" s="1114"/>
      <c r="BQ189" s="1123"/>
      <c r="BR189" s="1114"/>
      <c r="BS189" s="1114"/>
      <c r="BT189" s="1114"/>
      <c r="BU189" s="1114"/>
      <c r="BV189" s="1114"/>
      <c r="BW189" s="1114"/>
      <c r="BX189" s="1114"/>
      <c r="BY189" s="1114"/>
      <c r="BZ189" s="1114"/>
      <c r="CA189" s="1114"/>
      <c r="CB189" s="1114"/>
      <c r="CC189" s="1114"/>
      <c r="CD189" s="1114"/>
      <c r="CE189" s="1114"/>
      <c r="CF189" s="1114"/>
      <c r="CG189" s="1114"/>
      <c r="CH189" s="1467"/>
    </row>
    <row r="190" spans="1:86" s="350" customFormat="1">
      <c r="A190" s="1697"/>
      <c r="B190" s="1340" t="s">
        <v>1270</v>
      </c>
      <c r="C190" s="3563"/>
      <c r="D190" s="3563"/>
      <c r="E190" s="3563"/>
      <c r="F190" s="2250"/>
      <c r="G190" s="1341"/>
      <c r="H190" s="1351"/>
      <c r="I190" s="1351"/>
      <c r="J190" s="2252" t="str">
        <f>IF(ISNUMBER(F190),F190*H190,"")</f>
        <v/>
      </c>
      <c r="K190" s="2252" t="str">
        <f>IF(ISNUMBER(F190),F190*I190,"")</f>
        <v/>
      </c>
      <c r="L190" s="479"/>
      <c r="M190" s="479"/>
      <c r="N190" s="480"/>
      <c r="O190" s="480"/>
      <c r="P190" s="466"/>
      <c r="Q190" s="466"/>
      <c r="R190" s="9"/>
      <c r="S190" s="1700"/>
      <c r="T190" s="9"/>
      <c r="U190" s="9"/>
      <c r="V190" s="9"/>
      <c r="W190" s="9"/>
      <c r="X190" s="9"/>
      <c r="Y190" s="9"/>
      <c r="Z190" s="9"/>
      <c r="AA190" s="335"/>
      <c r="AB190" s="335"/>
      <c r="AC190" s="348"/>
      <c r="AD190" s="348"/>
      <c r="AE190" s="348"/>
      <c r="AF190" s="348"/>
      <c r="AG190" s="348"/>
      <c r="AH190" s="318"/>
      <c r="AI190" s="318"/>
      <c r="AJ190" s="349"/>
      <c r="AK190" s="349"/>
      <c r="AY190" s="1453" t="s">
        <v>1430</v>
      </c>
      <c r="BK190" s="1453"/>
      <c r="BL190" s="1114"/>
      <c r="BM190" s="1114"/>
      <c r="BN190" s="1114"/>
      <c r="BO190" s="1114"/>
      <c r="BP190" s="1114"/>
      <c r="BQ190" s="1123"/>
      <c r="BR190" s="1114"/>
      <c r="BS190" s="1114"/>
      <c r="BT190" s="1114"/>
      <c r="BU190" s="1114"/>
      <c r="BV190" s="1114"/>
      <c r="BW190" s="1114"/>
      <c r="BX190" s="1114"/>
      <c r="BY190" s="1114"/>
      <c r="BZ190" s="1114"/>
      <c r="CA190" s="1114"/>
      <c r="CB190" s="1114"/>
      <c r="CC190" s="1114"/>
      <c r="CD190" s="1114"/>
      <c r="CE190" s="1114"/>
      <c r="CF190" s="1114"/>
      <c r="CG190" s="1114"/>
      <c r="CH190" s="1467"/>
    </row>
    <row r="191" spans="1:86" s="350" customFormat="1">
      <c r="A191" s="1697"/>
      <c r="B191" s="1340" t="s">
        <v>931</v>
      </c>
      <c r="C191" s="3563"/>
      <c r="D191" s="3563"/>
      <c r="E191" s="3563"/>
      <c r="F191" s="2250"/>
      <c r="G191" s="1341"/>
      <c r="H191" s="1351"/>
      <c r="I191" s="1351"/>
      <c r="J191" s="2252" t="str">
        <f>IF(ISNUMBER(F191),F191*H191,"")</f>
        <v/>
      </c>
      <c r="K191" s="2252" t="str">
        <f>IF(ISNUMBER(F191),F191*I191,"")</f>
        <v/>
      </c>
      <c r="L191" s="479"/>
      <c r="M191" s="479"/>
      <c r="N191" s="480"/>
      <c r="O191" s="480"/>
      <c r="P191" s="466"/>
      <c r="Q191" s="466"/>
      <c r="R191" s="9"/>
      <c r="S191" s="1700"/>
      <c r="T191" s="9"/>
      <c r="U191" s="9"/>
      <c r="V191" s="9"/>
      <c r="W191" s="9"/>
      <c r="X191" s="9"/>
      <c r="Y191" s="9"/>
      <c r="Z191" s="9"/>
      <c r="AA191" s="335"/>
      <c r="AB191" s="335"/>
      <c r="AC191" s="348"/>
      <c r="AD191" s="348"/>
      <c r="AE191" s="348"/>
      <c r="AF191" s="348"/>
      <c r="AG191" s="348"/>
      <c r="AH191" s="318"/>
      <c r="AI191" s="318"/>
      <c r="AJ191" s="349"/>
      <c r="AK191" s="349"/>
      <c r="AY191" s="1453" t="s">
        <v>1430</v>
      </c>
      <c r="BK191" s="1453"/>
      <c r="BL191" s="1114"/>
      <c r="BM191" s="1114"/>
      <c r="BN191" s="1114"/>
      <c r="BO191" s="1114"/>
      <c r="BP191" s="1114"/>
      <c r="BQ191" s="1123"/>
      <c r="BR191" s="1114"/>
      <c r="BS191" s="1114"/>
      <c r="BT191" s="1114"/>
      <c r="BU191" s="1114"/>
      <c r="BV191" s="1114"/>
      <c r="BW191" s="1114"/>
      <c r="BX191" s="1114"/>
      <c r="BY191" s="1114"/>
      <c r="BZ191" s="1114"/>
      <c r="CA191" s="1114"/>
      <c r="CB191" s="1114"/>
      <c r="CC191" s="1114"/>
      <c r="CD191" s="1114"/>
      <c r="CE191" s="1114"/>
      <c r="CF191" s="1114"/>
      <c r="CG191" s="1114"/>
      <c r="CH191" s="1467"/>
    </row>
    <row r="192" spans="1:86" s="350" customFormat="1">
      <c r="A192" s="1697"/>
      <c r="B192" s="1340" t="s">
        <v>932</v>
      </c>
      <c r="C192" s="3563"/>
      <c r="D192" s="3563"/>
      <c r="E192" s="3563"/>
      <c r="F192" s="2250"/>
      <c r="G192" s="1341"/>
      <c r="H192" s="1351"/>
      <c r="I192" s="1351"/>
      <c r="J192" s="2252" t="str">
        <f>IF(ISNUMBER(F192),F192*H192,"")</f>
        <v/>
      </c>
      <c r="K192" s="2252" t="str">
        <f>IF(ISNUMBER(F192),F192*I192,"")</f>
        <v/>
      </c>
      <c r="L192" s="479"/>
      <c r="M192" s="479"/>
      <c r="N192" s="480"/>
      <c r="O192" s="480"/>
      <c r="P192" s="466"/>
      <c r="Q192" s="466"/>
      <c r="R192" s="9"/>
      <c r="S192" s="1700"/>
      <c r="T192" s="9"/>
      <c r="U192" s="9"/>
      <c r="V192" s="9"/>
      <c r="W192" s="9"/>
      <c r="X192" s="9"/>
      <c r="Y192" s="9"/>
      <c r="Z192" s="9"/>
      <c r="AA192" s="335"/>
      <c r="AB192" s="335"/>
      <c r="AC192" s="348"/>
      <c r="AD192" s="348"/>
      <c r="AE192" s="348"/>
      <c r="AF192" s="348"/>
      <c r="AG192" s="348"/>
      <c r="AH192" s="318"/>
      <c r="AI192" s="318"/>
      <c r="AJ192" s="349"/>
      <c r="AK192" s="349"/>
      <c r="AY192" s="1453" t="s">
        <v>1430</v>
      </c>
      <c r="BK192" s="1453"/>
      <c r="BL192" s="1114"/>
      <c r="BM192" s="1114"/>
      <c r="BN192" s="1114"/>
      <c r="BO192" s="1114"/>
      <c r="BP192" s="1114"/>
      <c r="BQ192" s="1123"/>
      <c r="BR192" s="1114"/>
      <c r="BS192" s="1114"/>
      <c r="BT192" s="1114"/>
      <c r="BU192" s="1114"/>
      <c r="BV192" s="1114"/>
      <c r="BW192" s="1114"/>
      <c r="BX192" s="1114"/>
      <c r="BY192" s="1114"/>
      <c r="BZ192" s="1114"/>
      <c r="CA192" s="1114"/>
      <c r="CB192" s="1114"/>
      <c r="CC192" s="1114"/>
      <c r="CD192" s="1114"/>
      <c r="CE192" s="1114"/>
      <c r="CF192" s="1114"/>
      <c r="CG192" s="1114"/>
      <c r="CH192" s="1467"/>
    </row>
    <row r="193" spans="1:86" s="350" customFormat="1" ht="12" customHeight="1">
      <c r="A193" s="1699"/>
      <c r="B193" s="1691"/>
      <c r="C193" s="1692"/>
      <c r="D193" s="1693"/>
      <c r="E193" s="1693"/>
      <c r="F193" s="2251"/>
      <c r="G193" s="1693"/>
      <c r="H193" s="1297"/>
      <c r="I193" s="1297"/>
      <c r="J193" s="2253"/>
      <c r="K193" s="2253"/>
      <c r="L193" s="1694"/>
      <c r="M193" s="1694"/>
      <c r="N193" s="1695"/>
      <c r="O193" s="1695"/>
      <c r="P193" s="1696"/>
      <c r="Q193" s="1696"/>
      <c r="R193" s="1297"/>
      <c r="S193" s="1297"/>
      <c r="T193" s="311"/>
      <c r="U193" s="311"/>
      <c r="V193" s="311"/>
      <c r="W193" s="311"/>
      <c r="X193" s="9"/>
      <c r="Y193" s="9"/>
      <c r="Z193" s="9"/>
      <c r="AA193" s="335"/>
      <c r="AB193" s="335"/>
      <c r="AC193" s="348"/>
      <c r="AD193" s="348"/>
      <c r="AE193" s="348"/>
      <c r="AF193" s="348"/>
      <c r="AG193" s="348"/>
      <c r="AH193" s="318"/>
      <c r="AI193" s="318"/>
      <c r="AJ193" s="349"/>
      <c r="AK193" s="349"/>
      <c r="AY193" s="1453" t="s">
        <v>1430</v>
      </c>
      <c r="BK193" s="1453"/>
      <c r="BL193" s="1114"/>
      <c r="BM193" s="1114"/>
      <c r="BN193" s="1114"/>
      <c r="BO193" s="1114"/>
      <c r="BP193" s="1114"/>
      <c r="BQ193" s="1123"/>
      <c r="BR193" s="1114"/>
      <c r="BS193" s="1114"/>
      <c r="BT193" s="1114"/>
      <c r="BU193" s="1114"/>
      <c r="BV193" s="1114"/>
      <c r="BW193" s="1114"/>
      <c r="BX193" s="1114"/>
      <c r="BY193" s="1114"/>
      <c r="BZ193" s="1114"/>
      <c r="CA193" s="1114"/>
      <c r="CB193" s="1114"/>
      <c r="CC193" s="1114"/>
      <c r="CD193" s="1114"/>
      <c r="CE193" s="1114"/>
      <c r="CF193" s="1114"/>
      <c r="CG193" s="1114"/>
      <c r="CH193" s="1467"/>
    </row>
    <row r="194" spans="1:86" s="350" customFormat="1" ht="36" customHeight="1" thickBot="1">
      <c r="A194" s="3090"/>
      <c r="B194" s="3091"/>
      <c r="C194" s="3092"/>
      <c r="D194" s="3093"/>
      <c r="E194" s="3093"/>
      <c r="F194" s="3093"/>
      <c r="G194" s="3093"/>
      <c r="H194" s="3094"/>
      <c r="I194" s="3094"/>
      <c r="J194" s="3095"/>
      <c r="K194" s="3095"/>
      <c r="L194" s="3096"/>
      <c r="M194" s="3096"/>
      <c r="N194" s="3097"/>
      <c r="O194" s="3097"/>
      <c r="P194" s="3098"/>
      <c r="Q194" s="3098"/>
      <c r="R194" s="3094"/>
      <c r="S194" s="3094"/>
      <c r="T194" s="3094"/>
      <c r="U194" s="3094"/>
      <c r="V194" s="3094"/>
      <c r="W194" s="3094"/>
      <c r="X194" s="3099"/>
      <c r="Y194" s="3099"/>
      <c r="Z194" s="3099"/>
      <c r="AA194" s="3100"/>
      <c r="AB194" s="3100"/>
      <c r="AC194" s="3101"/>
      <c r="AD194" s="3101"/>
      <c r="AE194" s="3101"/>
      <c r="AF194" s="3101"/>
      <c r="AG194" s="3101"/>
      <c r="AH194" s="3102"/>
      <c r="AI194" s="3102"/>
      <c r="AJ194" s="3103"/>
      <c r="AK194" s="3103"/>
      <c r="AL194" s="3093"/>
      <c r="AM194" s="3093"/>
      <c r="AN194" s="3093"/>
      <c r="AO194" s="3093"/>
      <c r="AP194" s="3093"/>
      <c r="AQ194" s="3093"/>
      <c r="AR194" s="3093"/>
      <c r="AS194" s="3093"/>
      <c r="AT194" s="3093"/>
      <c r="AU194" s="3093"/>
      <c r="AV194" s="3093"/>
      <c r="AW194" s="3093"/>
      <c r="AX194" s="3093"/>
      <c r="AY194" s="3104" t="s">
        <v>1430</v>
      </c>
      <c r="AZ194" s="3093"/>
      <c r="BA194" s="3093"/>
      <c r="BB194" s="3093"/>
      <c r="BC194" s="3093"/>
      <c r="BD194" s="3093"/>
      <c r="BE194" s="3093"/>
      <c r="BF194" s="3093"/>
      <c r="BG194" s="3093"/>
      <c r="BH194" s="3093"/>
      <c r="BI194" s="3093"/>
      <c r="BJ194" s="3093"/>
      <c r="BK194" s="3104" t="s">
        <v>1430</v>
      </c>
      <c r="BL194" s="1114"/>
      <c r="BM194" s="1114"/>
      <c r="BN194" s="1114"/>
      <c r="BO194" s="1114"/>
      <c r="BP194" s="1114"/>
      <c r="BQ194" s="1123"/>
      <c r="BR194" s="1114"/>
      <c r="BS194" s="1114"/>
      <c r="BT194" s="1114"/>
      <c r="BU194" s="1114"/>
      <c r="BV194" s="1114"/>
      <c r="BW194" s="1114"/>
      <c r="BX194" s="1114"/>
      <c r="BY194" s="1114"/>
      <c r="BZ194" s="1114"/>
      <c r="CA194" s="1114"/>
      <c r="CB194" s="1114"/>
      <c r="CC194" s="1114"/>
      <c r="CD194" s="1114"/>
      <c r="CE194" s="1114"/>
      <c r="CF194" s="1114"/>
      <c r="CG194" s="1114"/>
      <c r="CH194" s="1467"/>
    </row>
    <row r="195" spans="1:86" s="350" customFormat="1">
      <c r="A195" s="3105"/>
      <c r="B195" s="3106"/>
      <c r="C195" s="3107"/>
      <c r="D195" s="3108"/>
      <c r="E195" s="3108"/>
      <c r="F195" s="3108"/>
      <c r="G195" s="3108"/>
      <c r="H195" s="2929"/>
      <c r="I195" s="2929"/>
      <c r="J195" s="3109"/>
      <c r="K195" s="3109"/>
      <c r="L195" s="3110"/>
      <c r="M195" s="3110"/>
      <c r="N195" s="3111"/>
      <c r="O195" s="3111"/>
      <c r="P195" s="3112"/>
      <c r="Q195" s="3112"/>
      <c r="R195" s="2929"/>
      <c r="S195" s="2929"/>
      <c r="T195" s="2929"/>
      <c r="U195" s="2929"/>
      <c r="V195" s="2929"/>
      <c r="W195" s="2929"/>
      <c r="X195" s="3075"/>
      <c r="Y195" s="3075"/>
      <c r="Z195" s="3075"/>
      <c r="AA195" s="3113"/>
      <c r="AB195" s="3113"/>
      <c r="AC195" s="3114"/>
      <c r="AD195" s="3114"/>
      <c r="AE195" s="3114"/>
      <c r="AF195" s="3114"/>
      <c r="AG195" s="3114"/>
      <c r="AH195" s="2828"/>
      <c r="AI195" s="2828"/>
      <c r="AJ195" s="3115"/>
      <c r="AK195" s="3115"/>
      <c r="AL195" s="3108"/>
      <c r="AM195" s="3108"/>
      <c r="AN195" s="3108"/>
      <c r="AO195" s="3108"/>
      <c r="AP195" s="3108"/>
      <c r="AQ195" s="3108"/>
      <c r="AR195" s="3108"/>
      <c r="AS195" s="3108"/>
      <c r="AT195" s="3108"/>
      <c r="AU195" s="3108"/>
      <c r="AV195" s="3108"/>
      <c r="AW195" s="3108"/>
      <c r="AX195" s="3108"/>
      <c r="AY195" s="3116"/>
      <c r="AZ195" s="3108"/>
      <c r="BA195" s="3108"/>
      <c r="BB195" s="3108"/>
      <c r="BC195" s="3108"/>
      <c r="BD195" s="3108"/>
      <c r="BE195" s="3108"/>
      <c r="BF195" s="3108"/>
      <c r="BG195" s="3108"/>
      <c r="BH195" s="3108"/>
      <c r="BI195" s="3108"/>
      <c r="BJ195" s="3108"/>
      <c r="BK195" s="3116" t="s">
        <v>1430</v>
      </c>
      <c r="BL195" s="1114"/>
      <c r="BM195" s="1114"/>
      <c r="BN195" s="1114"/>
      <c r="BO195" s="1114"/>
      <c r="BP195" s="1114"/>
      <c r="BQ195" s="1123"/>
      <c r="BR195" s="1114"/>
      <c r="BS195" s="1114"/>
      <c r="BT195" s="1114"/>
      <c r="BU195" s="1114"/>
      <c r="BV195" s="1114"/>
      <c r="BW195" s="1114"/>
      <c r="BX195" s="1114"/>
      <c r="BY195" s="1114"/>
      <c r="BZ195" s="1114"/>
      <c r="CA195" s="1114"/>
      <c r="CB195" s="1114"/>
      <c r="CC195" s="1114"/>
      <c r="CD195" s="1114"/>
      <c r="CE195" s="1114"/>
      <c r="CF195" s="1114"/>
      <c r="CG195" s="1114"/>
      <c r="CH195" s="1467"/>
    </row>
    <row r="196" spans="1:86" ht="21.75" customHeight="1">
      <c r="A196" s="1708" t="s">
        <v>500</v>
      </c>
      <c r="B196" s="1706" t="s">
        <v>1401</v>
      </c>
      <c r="C196" s="1706"/>
      <c r="D196" s="1706"/>
      <c r="E196" s="1706"/>
      <c r="F196" s="1706"/>
      <c r="G196" s="1706"/>
      <c r="H196" s="1706"/>
      <c r="I196" s="1706"/>
      <c r="J196" s="1706"/>
      <c r="K196" s="1706"/>
      <c r="L196" s="1706"/>
      <c r="M196" s="1706"/>
      <c r="N196" s="1706"/>
      <c r="O196" s="1706"/>
      <c r="P196" s="1706"/>
      <c r="Q196" s="1706"/>
      <c r="R196" s="1706"/>
      <c r="S196" s="1707"/>
      <c r="AA196" s="145" t="str">
        <f>B196</f>
        <v>Aufteilung der Nährstoffe auf Gülle, Mist und Weide zur Schätzung der Hofdüngergehalte</v>
      </c>
      <c r="AB196" s="306"/>
      <c r="AC196" s="306"/>
      <c r="AD196" s="306"/>
      <c r="AE196" s="306"/>
      <c r="AS196" s="356" t="s">
        <v>766</v>
      </c>
      <c r="AT196" s="357" t="s">
        <v>767</v>
      </c>
      <c r="BF196" s="314" t="str">
        <f>R5&amp;" / "&amp;LEFT(B6,27)</f>
        <v>(Basis = Version 1.20,  2025, agridea und EVD/BLW) /   Version 1.20 - 2025 Copyr</v>
      </c>
      <c r="BK196" s="1462" t="s">
        <v>1424</v>
      </c>
      <c r="BL196" s="1107"/>
      <c r="CH196" s="1455"/>
    </row>
    <row r="197" spans="1:86" ht="8.1" customHeight="1" thickBot="1">
      <c r="A197" s="145"/>
      <c r="P197" s="4"/>
      <c r="Q197" s="4"/>
      <c r="R197" s="4"/>
      <c r="AA197" s="145"/>
      <c r="AB197" s="306"/>
      <c r="AC197" s="306"/>
      <c r="AD197" s="306"/>
      <c r="AE197" s="306"/>
      <c r="AS197" s="356"/>
      <c r="AT197" s="357"/>
      <c r="BF197" s="314"/>
      <c r="BK197" s="1453"/>
      <c r="BL197" s="1107"/>
      <c r="CH197" s="1455"/>
    </row>
    <row r="198" spans="1:86" ht="16.5" customHeight="1" thickBot="1">
      <c r="B198" s="1211" t="s">
        <v>768</v>
      </c>
      <c r="C198" s="1212"/>
      <c r="D198" s="1212"/>
      <c r="E198" s="1213">
        <f>K8</f>
        <v>2026</v>
      </c>
      <c r="F198" s="7"/>
      <c r="G198" s="2" t="s">
        <v>81</v>
      </c>
      <c r="H198" s="100" t="str">
        <f>C8&amp;", "&amp;C9</f>
        <v xml:space="preserve">  Original, </v>
      </c>
      <c r="I198" s="48"/>
      <c r="J198" s="48"/>
      <c r="K198" s="49"/>
      <c r="L198" s="49"/>
      <c r="M198" s="50"/>
      <c r="N198" s="99" t="s">
        <v>649</v>
      </c>
      <c r="O198" s="523">
        <f ca="1">IF(ISBLANK(O8),"",O8)</f>
        <v>46091</v>
      </c>
      <c r="P198" s="51"/>
      <c r="Q198" s="4"/>
      <c r="R198" s="116" t="s">
        <v>769</v>
      </c>
      <c r="AS198" s="358" t="s">
        <v>770</v>
      </c>
      <c r="AT198" s="358" t="s">
        <v>771</v>
      </c>
      <c r="AU198" s="359">
        <v>0</v>
      </c>
      <c r="AV198" s="358">
        <v>1</v>
      </c>
      <c r="AW198" s="358">
        <v>2</v>
      </c>
      <c r="AX198" s="358">
        <v>3</v>
      </c>
      <c r="AY198" s="358">
        <v>4</v>
      </c>
      <c r="AZ198" s="358">
        <v>5</v>
      </c>
      <c r="BA198" s="358">
        <v>6</v>
      </c>
      <c r="BB198" s="360">
        <v>7</v>
      </c>
      <c r="BC198" s="358">
        <v>8</v>
      </c>
      <c r="BD198" s="358">
        <v>9</v>
      </c>
      <c r="BE198" s="360">
        <v>10</v>
      </c>
      <c r="BF198" s="361">
        <v>11</v>
      </c>
      <c r="BG198" s="358">
        <v>12</v>
      </c>
      <c r="BK198" s="1453"/>
      <c r="CH198" s="1455"/>
    </row>
    <row r="199" spans="1:86" ht="12" customHeight="1">
      <c r="M199" s="298">
        <f>G7</f>
        <v>0</v>
      </c>
      <c r="Q199"/>
      <c r="R199" s="4"/>
      <c r="AS199" s="362">
        <v>2</v>
      </c>
      <c r="AT199" s="363" t="s">
        <v>772</v>
      </c>
      <c r="AU199" s="359">
        <v>0</v>
      </c>
      <c r="AV199" s="364" t="s">
        <v>773</v>
      </c>
      <c r="AW199" s="365" t="s">
        <v>773</v>
      </c>
      <c r="AX199" s="365" t="s">
        <v>773</v>
      </c>
      <c r="AY199" s="365" t="s">
        <v>773</v>
      </c>
      <c r="AZ199" s="365" t="s">
        <v>773</v>
      </c>
      <c r="BA199" s="366" t="s">
        <v>774</v>
      </c>
      <c r="BB199" s="367" t="s">
        <v>775</v>
      </c>
      <c r="BC199" s="365" t="s">
        <v>775</v>
      </c>
      <c r="BD199" s="365" t="s">
        <v>775</v>
      </c>
      <c r="BE199" s="368" t="s">
        <v>776</v>
      </c>
      <c r="BF199" s="369" t="s">
        <v>776</v>
      </c>
      <c r="BG199" s="369" t="s">
        <v>776</v>
      </c>
      <c r="BK199" s="1453"/>
      <c r="CH199" s="1455"/>
    </row>
    <row r="200" spans="1:86" ht="12" customHeight="1">
      <c r="B200" s="45" t="s">
        <v>777</v>
      </c>
      <c r="P200" s="106" t="str">
        <f>"erstellt von: "&amp;O9</f>
        <v xml:space="preserve">erstellt von: </v>
      </c>
      <c r="Q200"/>
      <c r="AA200" s="370" t="s">
        <v>778</v>
      </c>
      <c r="AB200" s="370"/>
      <c r="AC200" s="371"/>
      <c r="AD200" s="371"/>
      <c r="AE200" s="372"/>
      <c r="AF200" s="372"/>
      <c r="AG200" s="372"/>
      <c r="AH200" s="372"/>
      <c r="AI200" s="372"/>
      <c r="AS200" s="362">
        <v>3</v>
      </c>
      <c r="AT200" s="373" t="s">
        <v>779</v>
      </c>
      <c r="AU200" s="359">
        <v>0</v>
      </c>
      <c r="AV200" s="364"/>
      <c r="AW200" s="374"/>
      <c r="AX200" s="364"/>
      <c r="AY200" s="374"/>
      <c r="AZ200" s="364" t="s">
        <v>780</v>
      </c>
      <c r="BA200" s="374" t="s">
        <v>781</v>
      </c>
      <c r="BB200" s="367"/>
      <c r="BC200" s="374"/>
      <c r="BD200" s="364"/>
      <c r="BE200" s="375"/>
      <c r="BF200" s="376"/>
      <c r="BG200" s="374"/>
      <c r="BK200" s="1453"/>
      <c r="CH200" s="1455"/>
    </row>
    <row r="201" spans="1:86" ht="12" customHeight="1" thickBot="1">
      <c r="AA201" s="355"/>
      <c r="AB201" s="370" t="s">
        <v>782</v>
      </c>
      <c r="AC201" s="371"/>
      <c r="AD201" s="371"/>
      <c r="AE201" s="372"/>
      <c r="AF201" s="372"/>
      <c r="AG201" s="372"/>
      <c r="AH201" s="372"/>
      <c r="AI201" s="372"/>
      <c r="AS201" s="362">
        <v>4</v>
      </c>
      <c r="AT201" s="320" t="s">
        <v>783</v>
      </c>
      <c r="AU201" s="359">
        <v>0</v>
      </c>
      <c r="AV201" s="369" t="s">
        <v>784</v>
      </c>
      <c r="AW201" s="364" t="s">
        <v>785</v>
      </c>
      <c r="AX201" s="369" t="s">
        <v>786</v>
      </c>
      <c r="AY201" s="364" t="s">
        <v>787</v>
      </c>
      <c r="AZ201" s="369" t="s">
        <v>788</v>
      </c>
      <c r="BA201" s="364" t="s">
        <v>789</v>
      </c>
      <c r="BB201" s="377" t="s">
        <v>784</v>
      </c>
      <c r="BC201" s="364" t="s">
        <v>784</v>
      </c>
      <c r="BD201" s="369" t="s">
        <v>789</v>
      </c>
      <c r="BE201" s="367" t="s">
        <v>790</v>
      </c>
      <c r="BF201" s="369" t="s">
        <v>791</v>
      </c>
      <c r="BG201" s="369" t="s">
        <v>791</v>
      </c>
      <c r="BK201" s="1453"/>
      <c r="CH201" s="1455"/>
    </row>
    <row r="202" spans="1:86" ht="12" customHeight="1">
      <c r="B202" s="1361" t="s">
        <v>771</v>
      </c>
      <c r="C202" s="146" t="s">
        <v>792</v>
      </c>
      <c r="D202" s="147"/>
      <c r="E202" s="146" t="s">
        <v>793</v>
      </c>
      <c r="F202" s="148"/>
      <c r="G202" s="148"/>
      <c r="H202" s="149"/>
      <c r="J202" s="1362" t="s">
        <v>771</v>
      </c>
      <c r="K202" s="146" t="s">
        <v>792</v>
      </c>
      <c r="L202" s="147"/>
      <c r="M202" s="146" t="s">
        <v>793</v>
      </c>
      <c r="N202" s="148"/>
      <c r="O202" s="148"/>
      <c r="P202" s="148"/>
      <c r="Q202" s="149"/>
      <c r="AA202" s="355"/>
      <c r="AB202" s="370" t="s">
        <v>794</v>
      </c>
      <c r="AC202" s="371"/>
      <c r="AD202" s="371"/>
      <c r="AE202" s="372"/>
      <c r="AF202" s="372"/>
      <c r="AG202" s="372"/>
      <c r="AH202" s="372"/>
      <c r="AI202" s="372"/>
      <c r="AS202" s="362">
        <v>5</v>
      </c>
      <c r="AT202" s="320" t="s">
        <v>779</v>
      </c>
      <c r="AU202" s="359">
        <v>0</v>
      </c>
      <c r="AV202" s="374" t="s">
        <v>795</v>
      </c>
      <c r="AW202" s="364" t="s">
        <v>796</v>
      </c>
      <c r="AX202" s="374" t="s">
        <v>797</v>
      </c>
      <c r="AY202" s="364" t="s">
        <v>798</v>
      </c>
      <c r="AZ202" s="374" t="s">
        <v>799</v>
      </c>
      <c r="BA202" s="364" t="s">
        <v>796</v>
      </c>
      <c r="BB202" s="375" t="s">
        <v>795</v>
      </c>
      <c r="BC202" s="364" t="s">
        <v>800</v>
      </c>
      <c r="BD202" s="374" t="s">
        <v>796</v>
      </c>
      <c r="BE202" s="367" t="s">
        <v>801</v>
      </c>
      <c r="BF202" s="374" t="s">
        <v>802</v>
      </c>
      <c r="BG202" s="374" t="s">
        <v>803</v>
      </c>
      <c r="BK202" s="1453"/>
      <c r="CH202" s="1455"/>
    </row>
    <row r="203" spans="1:86" ht="12" customHeight="1">
      <c r="B203" s="1356">
        <v>1</v>
      </c>
      <c r="C203" s="26" t="s">
        <v>773</v>
      </c>
      <c r="D203" s="30"/>
      <c r="E203" s="26" t="s">
        <v>804</v>
      </c>
      <c r="F203" s="30"/>
      <c r="G203" s="30"/>
      <c r="H203" s="73"/>
      <c r="J203" s="1356">
        <v>7</v>
      </c>
      <c r="K203" s="26" t="s">
        <v>775</v>
      </c>
      <c r="L203" s="30"/>
      <c r="M203" s="26" t="s">
        <v>784</v>
      </c>
      <c r="N203" s="30"/>
      <c r="O203" s="30"/>
      <c r="P203" s="30"/>
      <c r="Q203" s="73"/>
      <c r="AA203" s="306"/>
      <c r="AB203" s="306" t="s">
        <v>808</v>
      </c>
      <c r="AC203" s="306"/>
      <c r="AD203" s="306"/>
      <c r="AM203" s="306"/>
      <c r="AS203" s="362">
        <v>6</v>
      </c>
      <c r="AT203" s="359" t="s">
        <v>809</v>
      </c>
      <c r="AU203" s="359">
        <v>0</v>
      </c>
      <c r="AV203" s="362">
        <v>23</v>
      </c>
      <c r="AW203" s="362">
        <f>8*1.15</f>
        <v>9.1999999999999993</v>
      </c>
      <c r="AX203" s="362">
        <f>13.2*1.15</f>
        <v>15.179999999999998</v>
      </c>
      <c r="AY203" s="362">
        <v>11</v>
      </c>
      <c r="AZ203" s="362">
        <f>6*1.15</f>
        <v>6.8999999999999995</v>
      </c>
      <c r="BA203" s="362">
        <v>0</v>
      </c>
      <c r="BB203" s="378">
        <f>1.6*6</f>
        <v>9.6000000000000014</v>
      </c>
      <c r="BC203" s="379">
        <f>1.6*6*0.5</f>
        <v>4.8000000000000007</v>
      </c>
      <c r="BD203" s="362">
        <v>0</v>
      </c>
      <c r="BE203" s="380">
        <v>0</v>
      </c>
      <c r="BF203" s="362">
        <v>0</v>
      </c>
      <c r="BG203" s="362">
        <v>1.8</v>
      </c>
      <c r="BK203" s="1453"/>
      <c r="CH203" s="1455"/>
    </row>
    <row r="204" spans="1:86" ht="12" customHeight="1" thickBot="1">
      <c r="B204" s="1357"/>
      <c r="C204" s="28"/>
      <c r="D204" s="31"/>
      <c r="E204" s="28" t="s">
        <v>810</v>
      </c>
      <c r="F204" s="31"/>
      <c r="G204" s="31"/>
      <c r="H204" s="299"/>
      <c r="J204" s="1357"/>
      <c r="K204" s="28"/>
      <c r="L204" s="31"/>
      <c r="M204" s="28" t="s">
        <v>811</v>
      </c>
      <c r="N204" s="31"/>
      <c r="O204" s="31"/>
      <c r="P204" s="31"/>
      <c r="Q204" s="299"/>
      <c r="AA204" s="306"/>
      <c r="AB204" s="306"/>
      <c r="AC204" s="306"/>
      <c r="AD204" s="306"/>
      <c r="AS204" s="381">
        <v>7</v>
      </c>
      <c r="AT204" s="382" t="s">
        <v>812</v>
      </c>
      <c r="AU204" s="382">
        <v>0</v>
      </c>
      <c r="AV204" s="381">
        <v>0</v>
      </c>
      <c r="AW204" s="381">
        <f>11*1.15</f>
        <v>12.649999999999999</v>
      </c>
      <c r="AX204" s="381">
        <f>5.4*1.15</f>
        <v>6.21</v>
      </c>
      <c r="AY204" s="381">
        <v>8.9</v>
      </c>
      <c r="AZ204" s="381">
        <f>10*1.15</f>
        <v>11.5</v>
      </c>
      <c r="BA204" s="381">
        <v>21</v>
      </c>
      <c r="BB204" s="383">
        <v>0</v>
      </c>
      <c r="BC204" s="384">
        <f>(1.2*6-2.2)*0.5</f>
        <v>2.4999999999999996</v>
      </c>
      <c r="BD204" s="384">
        <f>1.2*6-2.2</f>
        <v>4.9999999999999991</v>
      </c>
      <c r="BE204" s="383">
        <v>2.7</v>
      </c>
      <c r="BF204" s="381">
        <v>1.5</v>
      </c>
      <c r="BG204" s="381">
        <v>0</v>
      </c>
      <c r="BK204" s="1453"/>
      <c r="CH204" s="1455"/>
    </row>
    <row r="205" spans="1:86" ht="12" customHeight="1">
      <c r="B205" s="1358">
        <v>2</v>
      </c>
      <c r="C205" s="27" t="s">
        <v>773</v>
      </c>
      <c r="E205" s="27" t="s">
        <v>813</v>
      </c>
      <c r="H205" s="74"/>
      <c r="J205" s="1358">
        <v>8</v>
      </c>
      <c r="K205" s="27" t="s">
        <v>775</v>
      </c>
      <c r="M205" s="27" t="s">
        <v>814</v>
      </c>
      <c r="Q205" s="74"/>
      <c r="AA205" s="370" t="s">
        <v>815</v>
      </c>
      <c r="AB205" s="371"/>
      <c r="AC205" s="371"/>
      <c r="AD205" s="371"/>
      <c r="AE205" s="372"/>
      <c r="AF205" s="372"/>
      <c r="AG205" s="372"/>
      <c r="AH205" s="372"/>
      <c r="AI205" s="372"/>
      <c r="AJ205" s="372"/>
      <c r="AS205" s="362">
        <v>8</v>
      </c>
      <c r="AT205" s="359" t="s">
        <v>816</v>
      </c>
      <c r="AU205" s="359">
        <v>0</v>
      </c>
      <c r="AV205" s="385">
        <v>1</v>
      </c>
      <c r="AW205" s="385">
        <v>0.4</v>
      </c>
      <c r="AX205" s="385">
        <v>0.68</v>
      </c>
      <c r="AY205" s="385">
        <v>0.56000000000000005</v>
      </c>
      <c r="AZ205" s="385">
        <v>0.44</v>
      </c>
      <c r="BA205" s="385">
        <v>0</v>
      </c>
      <c r="BB205" s="386">
        <v>1</v>
      </c>
      <c r="BC205" s="385">
        <v>0.32</v>
      </c>
      <c r="BD205" s="385">
        <v>0</v>
      </c>
      <c r="BE205" s="386">
        <v>0</v>
      </c>
      <c r="BF205" s="385">
        <v>0</v>
      </c>
      <c r="BG205" s="385">
        <v>1</v>
      </c>
      <c r="BK205" s="1453"/>
      <c r="CH205" s="1455"/>
    </row>
    <row r="206" spans="1:86" ht="12" customHeight="1">
      <c r="B206" s="1357"/>
      <c r="C206" s="28"/>
      <c r="D206" s="31"/>
      <c r="E206" s="28" t="s">
        <v>817</v>
      </c>
      <c r="F206" s="31"/>
      <c r="G206" s="31"/>
      <c r="H206" s="299"/>
      <c r="J206" s="1357"/>
      <c r="K206" s="28"/>
      <c r="L206" s="31"/>
      <c r="M206" s="28" t="s">
        <v>818</v>
      </c>
      <c r="N206" s="31"/>
      <c r="O206" s="31"/>
      <c r="P206" s="31"/>
      <c r="Q206" s="299"/>
      <c r="AA206" s="306"/>
      <c r="AB206" s="306"/>
      <c r="AC206" s="306"/>
      <c r="AD206" s="306"/>
      <c r="AF206" s="306"/>
      <c r="AS206" s="362">
        <v>9</v>
      </c>
      <c r="AT206" s="359" t="s">
        <v>819</v>
      </c>
      <c r="AU206" s="359">
        <v>0</v>
      </c>
      <c r="AV206" s="385">
        <v>1</v>
      </c>
      <c r="AW206" s="385">
        <v>0.46</v>
      </c>
      <c r="AX206" s="385">
        <v>0.75</v>
      </c>
      <c r="AY206" s="385">
        <v>0.73</v>
      </c>
      <c r="AZ206" s="385">
        <v>0.61</v>
      </c>
      <c r="BA206" s="385">
        <v>0</v>
      </c>
      <c r="BB206" s="386">
        <v>1</v>
      </c>
      <c r="BC206" s="385">
        <v>0.4</v>
      </c>
      <c r="BD206" s="385">
        <v>0</v>
      </c>
      <c r="BE206" s="386">
        <v>0</v>
      </c>
      <c r="BF206" s="385">
        <v>0</v>
      </c>
      <c r="BG206" s="385">
        <v>1</v>
      </c>
      <c r="BK206" s="1453"/>
      <c r="CH206" s="1455"/>
    </row>
    <row r="207" spans="1:86" ht="12" customHeight="1">
      <c r="B207" s="1358">
        <v>3</v>
      </c>
      <c r="C207" s="27" t="s">
        <v>773</v>
      </c>
      <c r="E207" s="27" t="s">
        <v>820</v>
      </c>
      <c r="H207" s="74"/>
      <c r="J207" s="1358">
        <v>9</v>
      </c>
      <c r="K207" s="27" t="s">
        <v>775</v>
      </c>
      <c r="M207" s="27" t="s">
        <v>821</v>
      </c>
      <c r="Q207" s="74"/>
      <c r="AA207" s="306"/>
      <c r="AB207" s="306" t="s">
        <v>822</v>
      </c>
      <c r="AC207" s="306"/>
      <c r="AD207" s="306"/>
      <c r="AS207" s="362">
        <v>10</v>
      </c>
      <c r="AT207" s="359" t="s">
        <v>831</v>
      </c>
      <c r="AU207" s="359">
        <v>0</v>
      </c>
      <c r="AV207" s="385">
        <v>1</v>
      </c>
      <c r="AW207" s="385">
        <v>0.34</v>
      </c>
      <c r="AX207" s="385">
        <v>0.52</v>
      </c>
      <c r="AY207" s="385">
        <v>0.33</v>
      </c>
      <c r="AZ207" s="385">
        <v>0.12</v>
      </c>
      <c r="BA207" s="385">
        <v>0</v>
      </c>
      <c r="BB207" s="386">
        <v>1</v>
      </c>
      <c r="BC207" s="385">
        <v>0.28000000000000003</v>
      </c>
      <c r="BD207" s="385">
        <v>0</v>
      </c>
      <c r="BE207" s="386">
        <v>0</v>
      </c>
      <c r="BF207" s="385">
        <v>0</v>
      </c>
      <c r="BG207" s="385">
        <v>1</v>
      </c>
      <c r="BK207" s="1453"/>
      <c r="CH207" s="1455"/>
    </row>
    <row r="208" spans="1:86" ht="12" customHeight="1" thickBot="1">
      <c r="B208" s="1357"/>
      <c r="C208" s="28"/>
      <c r="D208" s="31"/>
      <c r="E208" s="28" t="s">
        <v>832</v>
      </c>
      <c r="F208" s="31"/>
      <c r="G208" s="31"/>
      <c r="H208" s="299"/>
      <c r="J208" s="1360"/>
      <c r="K208" s="75"/>
      <c r="L208" s="58"/>
      <c r="M208" s="75" t="s">
        <v>833</v>
      </c>
      <c r="N208" s="58"/>
      <c r="O208" s="58"/>
      <c r="P208" s="58"/>
      <c r="Q208" s="76"/>
      <c r="AA208" s="306"/>
      <c r="AB208" s="306" t="s">
        <v>835</v>
      </c>
      <c r="AC208" s="306"/>
      <c r="AD208" s="306"/>
      <c r="AS208" s="362">
        <v>11</v>
      </c>
      <c r="AT208" s="359" t="s">
        <v>836</v>
      </c>
      <c r="AU208" s="359">
        <v>0</v>
      </c>
      <c r="AV208" s="385">
        <v>1</v>
      </c>
      <c r="AW208" s="385">
        <v>0.35</v>
      </c>
      <c r="AX208" s="385">
        <v>0.78</v>
      </c>
      <c r="AY208" s="385">
        <v>0.69</v>
      </c>
      <c r="AZ208" s="385">
        <v>0.61</v>
      </c>
      <c r="BA208" s="385">
        <v>0</v>
      </c>
      <c r="BB208" s="386">
        <v>1</v>
      </c>
      <c r="BC208" s="385">
        <v>0.23</v>
      </c>
      <c r="BD208" s="385">
        <v>0</v>
      </c>
      <c r="BE208" s="386">
        <v>0</v>
      </c>
      <c r="BF208" s="385">
        <v>0</v>
      </c>
      <c r="BG208" s="385">
        <v>1</v>
      </c>
      <c r="BK208" s="1453"/>
      <c r="CH208" s="1455"/>
    </row>
    <row r="209" spans="1:86" ht="12" customHeight="1">
      <c r="B209" s="1358">
        <v>4</v>
      </c>
      <c r="C209" s="27" t="s">
        <v>773</v>
      </c>
      <c r="E209" s="27" t="s">
        <v>837</v>
      </c>
      <c r="H209" s="74"/>
      <c r="J209" s="1358">
        <v>10</v>
      </c>
      <c r="K209" s="300" t="s">
        <v>776</v>
      </c>
      <c r="L209" s="77"/>
      <c r="M209" s="300" t="s">
        <v>790</v>
      </c>
      <c r="N209" s="77"/>
      <c r="O209" s="77"/>
      <c r="P209" s="77"/>
      <c r="Q209" s="78"/>
      <c r="AA209" s="306"/>
      <c r="AB209" s="306"/>
      <c r="AC209" s="306"/>
      <c r="AD209" s="306"/>
      <c r="AS209" s="362">
        <v>12</v>
      </c>
      <c r="AT209" s="359" t="s">
        <v>838</v>
      </c>
      <c r="AU209" s="359">
        <v>0</v>
      </c>
      <c r="AV209" s="385">
        <v>1</v>
      </c>
      <c r="AW209" s="385">
        <v>0.35</v>
      </c>
      <c r="AX209" s="385">
        <v>0.65</v>
      </c>
      <c r="AY209" s="385">
        <v>0.45</v>
      </c>
      <c r="AZ209" s="385">
        <v>0.25</v>
      </c>
      <c r="BA209" s="385">
        <v>0</v>
      </c>
      <c r="BB209" s="386">
        <v>1</v>
      </c>
      <c r="BC209" s="385">
        <v>0.26</v>
      </c>
      <c r="BD209" s="385">
        <v>0</v>
      </c>
      <c r="BE209" s="386">
        <v>0</v>
      </c>
      <c r="BF209" s="385">
        <v>0</v>
      </c>
      <c r="BG209" s="385">
        <v>1</v>
      </c>
      <c r="BK209" s="1453"/>
      <c r="CH209" s="1455"/>
    </row>
    <row r="210" spans="1:86" ht="12" customHeight="1">
      <c r="B210" s="1357"/>
      <c r="C210" s="28"/>
      <c r="D210" s="31"/>
      <c r="E210" s="28" t="s">
        <v>839</v>
      </c>
      <c r="F210" s="31"/>
      <c r="G210" s="31"/>
      <c r="H210" s="299"/>
      <c r="J210" s="1357"/>
      <c r="K210" s="28"/>
      <c r="L210" s="31"/>
      <c r="M210" s="28" t="s">
        <v>840</v>
      </c>
      <c r="N210" s="31"/>
      <c r="O210" s="31"/>
      <c r="P210" s="31"/>
      <c r="Q210" s="299"/>
      <c r="AA210" s="387" t="s">
        <v>844</v>
      </c>
      <c r="AB210" s="371"/>
      <c r="AC210" s="371"/>
      <c r="AD210" s="371"/>
      <c r="AE210" s="372"/>
      <c r="AF210" s="372"/>
      <c r="AG210" s="372"/>
      <c r="AH210" s="372"/>
      <c r="AI210" s="372"/>
      <c r="AJ210" s="372"/>
      <c r="AV210" s="306"/>
      <c r="BK210" s="1453"/>
      <c r="CH210" s="1455"/>
    </row>
    <row r="211" spans="1:86" ht="12" customHeight="1">
      <c r="B211" s="1358">
        <v>5</v>
      </c>
      <c r="C211" s="27" t="s">
        <v>845</v>
      </c>
      <c r="E211" s="27" t="s">
        <v>846</v>
      </c>
      <c r="H211" s="74"/>
      <c r="J211" s="1358">
        <v>11</v>
      </c>
      <c r="K211" s="27" t="s">
        <v>776</v>
      </c>
      <c r="M211" s="27" t="s">
        <v>791</v>
      </c>
      <c r="Q211" s="74"/>
      <c r="AA211" s="306"/>
      <c r="AB211" s="388" t="s">
        <v>852</v>
      </c>
      <c r="AC211" s="388"/>
      <c r="AD211" s="388"/>
      <c r="AE211" s="389"/>
      <c r="AF211" s="389"/>
      <c r="AG211" s="389"/>
      <c r="AH211" s="389"/>
      <c r="AV211" s="306"/>
      <c r="BK211" s="1453"/>
      <c r="CH211" s="1455"/>
    </row>
    <row r="212" spans="1:86" ht="12" customHeight="1">
      <c r="B212" s="1357"/>
      <c r="C212" s="28"/>
      <c r="D212" s="31"/>
      <c r="E212" s="28" t="s">
        <v>853</v>
      </c>
      <c r="F212" s="31"/>
      <c r="G212" s="31"/>
      <c r="H212" s="299"/>
      <c r="J212" s="1357"/>
      <c r="K212" s="28"/>
      <c r="L212" s="31"/>
      <c r="M212" s="28" t="s">
        <v>855</v>
      </c>
      <c r="N212" s="31"/>
      <c r="O212" s="31"/>
      <c r="P212" s="31"/>
      <c r="Q212" s="299"/>
      <c r="AA212" s="306"/>
      <c r="AB212" s="388" t="s">
        <v>856</v>
      </c>
      <c r="AC212" s="388"/>
      <c r="AD212" s="388"/>
      <c r="AE212" s="389"/>
      <c r="AF212" s="389"/>
      <c r="AG212" s="389"/>
      <c r="AH212" s="389"/>
      <c r="AV212" s="306"/>
      <c r="BK212" s="1453"/>
      <c r="CH212" s="1455"/>
    </row>
    <row r="213" spans="1:86" ht="12" customHeight="1">
      <c r="B213" s="1358">
        <v>6</v>
      </c>
      <c r="C213" s="27" t="s">
        <v>857</v>
      </c>
      <c r="E213" s="28" t="s">
        <v>858</v>
      </c>
      <c r="F213" s="31"/>
      <c r="G213" s="31"/>
      <c r="H213" s="74"/>
      <c r="J213" s="1358">
        <v>12</v>
      </c>
      <c r="K213" s="27" t="s">
        <v>776</v>
      </c>
      <c r="M213" s="27" t="s">
        <v>859</v>
      </c>
      <c r="Q213" s="74"/>
      <c r="AA213" s="306"/>
      <c r="AB213" s="306"/>
      <c r="AC213" s="306"/>
      <c r="AD213" s="306"/>
      <c r="AV213" s="306"/>
      <c r="BK213" s="1453"/>
      <c r="CH213" s="1455"/>
    </row>
    <row r="214" spans="1:86" ht="12" customHeight="1" thickBot="1">
      <c r="B214" s="1359"/>
      <c r="C214" s="75" t="s">
        <v>863</v>
      </c>
      <c r="D214" s="58"/>
      <c r="E214" s="75"/>
      <c r="F214" s="58"/>
      <c r="G214" s="58"/>
      <c r="H214" s="264"/>
      <c r="J214" s="1359"/>
      <c r="K214" s="75"/>
      <c r="L214" s="58"/>
      <c r="M214" s="75"/>
      <c r="N214" s="58"/>
      <c r="O214" s="58"/>
      <c r="P214" s="58"/>
      <c r="Q214" s="76"/>
      <c r="AV214" s="306"/>
      <c r="BK214" s="1453"/>
      <c r="CH214" s="1455"/>
    </row>
    <row r="215" spans="1:86" ht="9.75" customHeight="1">
      <c r="B215" s="292"/>
      <c r="I215" s="150"/>
      <c r="AV215" s="306"/>
      <c r="BK215" s="1453"/>
      <c r="CH215" s="1455"/>
    </row>
    <row r="216" spans="1:86" ht="13.5">
      <c r="A216" s="14"/>
      <c r="B216" s="513" t="s">
        <v>1202</v>
      </c>
      <c r="F216" s="3536" t="s">
        <v>1205</v>
      </c>
      <c r="G216" s="3537"/>
      <c r="H216" s="3549" t="s">
        <v>1203</v>
      </c>
      <c r="I216" s="3550"/>
      <c r="J216" s="3551"/>
      <c r="K216" s="320"/>
      <c r="L216" s="3536" t="s">
        <v>1206</v>
      </c>
      <c r="M216" s="3537"/>
      <c r="N216" s="3549" t="s">
        <v>1203</v>
      </c>
      <c r="O216" s="3550"/>
      <c r="P216" s="3551"/>
      <c r="AV216" s="306"/>
      <c r="BK216" s="1453"/>
      <c r="CH216" s="1455"/>
    </row>
    <row r="217" spans="1:86" ht="13.5">
      <c r="B217" s="513"/>
      <c r="F217" s="3547" t="s">
        <v>1201</v>
      </c>
      <c r="G217" s="3548"/>
      <c r="H217" s="3552"/>
      <c r="I217" s="3553"/>
      <c r="J217" s="3554"/>
      <c r="K217" s="320"/>
      <c r="L217" s="3547" t="s">
        <v>927</v>
      </c>
      <c r="M217" s="3548"/>
      <c r="N217" s="3533"/>
      <c r="O217" s="3534"/>
      <c r="P217" s="3535"/>
      <c r="AV217" s="306"/>
      <c r="BK217" s="1450" t="s">
        <v>1424</v>
      </c>
      <c r="BL217" s="1455" t="s">
        <v>1430</v>
      </c>
      <c r="BM217" s="1455" t="s">
        <v>1430</v>
      </c>
      <c r="BN217" s="1455" t="s">
        <v>1430</v>
      </c>
      <c r="BO217" s="1455" t="s">
        <v>1430</v>
      </c>
      <c r="BP217" s="1455" t="s">
        <v>1430</v>
      </c>
      <c r="BQ217" s="1460" t="s">
        <v>1430</v>
      </c>
      <c r="BR217" s="1455" t="s">
        <v>1430</v>
      </c>
      <c r="BS217" s="1455" t="s">
        <v>1430</v>
      </c>
      <c r="BT217" s="1455" t="s">
        <v>1430</v>
      </c>
      <c r="BU217" s="1455" t="s">
        <v>1430</v>
      </c>
      <c r="BV217" s="1455" t="s">
        <v>1430</v>
      </c>
      <c r="BW217" s="1455" t="s">
        <v>1430</v>
      </c>
      <c r="BX217" s="1455" t="s">
        <v>1430</v>
      </c>
      <c r="BY217" s="1455" t="s">
        <v>1430</v>
      </c>
      <c r="BZ217" s="1455" t="s">
        <v>1430</v>
      </c>
      <c r="CA217" s="1455" t="s">
        <v>1430</v>
      </c>
      <c r="CB217" s="1455" t="s">
        <v>1430</v>
      </c>
      <c r="CC217" s="1455" t="s">
        <v>1430</v>
      </c>
      <c r="CD217" s="1455" t="s">
        <v>1430</v>
      </c>
      <c r="CE217" s="1455" t="s">
        <v>1430</v>
      </c>
      <c r="CF217" s="1455" t="s">
        <v>1430</v>
      </c>
      <c r="CG217" s="1455" t="s">
        <v>1430</v>
      </c>
      <c r="CH217" s="1450" t="s">
        <v>1424</v>
      </c>
    </row>
    <row r="218" spans="1:86" ht="13.5">
      <c r="B218" s="61"/>
      <c r="F218" s="3547" t="s">
        <v>1208</v>
      </c>
      <c r="G218" s="3548"/>
      <c r="H218" s="3552"/>
      <c r="I218" s="3553"/>
      <c r="J218" s="3554"/>
      <c r="K218" s="320"/>
      <c r="L218" s="3547" t="s">
        <v>928</v>
      </c>
      <c r="M218" s="3548"/>
      <c r="N218" s="3533"/>
      <c r="O218" s="3534"/>
      <c r="P218" s="3535"/>
      <c r="AV218" s="306"/>
      <c r="BK218" s="1450"/>
      <c r="BL218" s="1109" t="s">
        <v>595</v>
      </c>
      <c r="BY218" s="1122"/>
      <c r="CF218" s="1199" t="s">
        <v>904</v>
      </c>
      <c r="CG218" s="1199" t="s">
        <v>905</v>
      </c>
      <c r="CH218" s="1450" t="s">
        <v>1430</v>
      </c>
    </row>
    <row r="219" spans="1:86" ht="13.5">
      <c r="F219" s="3547" t="s">
        <v>1209</v>
      </c>
      <c r="G219" s="3548"/>
      <c r="H219" s="3552"/>
      <c r="I219" s="3553"/>
      <c r="J219" s="3554"/>
      <c r="K219" s="320"/>
      <c r="L219" s="3547" t="s">
        <v>929</v>
      </c>
      <c r="M219" s="3548"/>
      <c r="N219" s="3533"/>
      <c r="O219" s="3534"/>
      <c r="P219" s="3535"/>
      <c r="S219" s="9"/>
      <c r="T219" s="9"/>
      <c r="U219" s="9"/>
      <c r="V219" s="9"/>
      <c r="W219" s="9"/>
      <c r="X219" s="9"/>
      <c r="Y219" s="9"/>
      <c r="Z219" s="9"/>
      <c r="AV219" s="306"/>
      <c r="BK219" s="1450"/>
      <c r="BL219" s="1165" t="s">
        <v>54</v>
      </c>
      <c r="BM219" s="1166" t="s">
        <v>1246</v>
      </c>
      <c r="BN219" s="1167"/>
      <c r="BO219" s="3561" t="s">
        <v>1243</v>
      </c>
      <c r="BP219" s="3562"/>
      <c r="BQ219" s="3558" t="s">
        <v>94</v>
      </c>
      <c r="BR219" s="3559"/>
      <c r="BS219" s="3560"/>
      <c r="BT219" s="3555" t="s">
        <v>95</v>
      </c>
      <c r="BU219" s="3556"/>
      <c r="BV219" s="3556"/>
      <c r="BW219" s="3556"/>
      <c r="BX219" s="3557"/>
      <c r="BY219" s="1148" t="s">
        <v>36</v>
      </c>
      <c r="BZ219" s="1165"/>
      <c r="CA219" s="1166"/>
      <c r="CB219" s="1165" t="s">
        <v>611</v>
      </c>
      <c r="CC219" s="1166"/>
      <c r="CD219" s="1166"/>
      <c r="CE219" s="1167"/>
      <c r="CF219" s="1166"/>
      <c r="CG219" s="1167"/>
      <c r="CH219" s="1455" t="s">
        <v>1430</v>
      </c>
    </row>
    <row r="220" spans="1:86" ht="8.25" customHeight="1">
      <c r="H220" s="106"/>
      <c r="S220" s="9"/>
      <c r="T220" s="9"/>
      <c r="U220" s="9"/>
      <c r="V220" s="9"/>
      <c r="W220" s="9"/>
      <c r="X220" s="9"/>
      <c r="Y220" s="9"/>
      <c r="Z220" s="9"/>
      <c r="AV220" s="306"/>
      <c r="BK220" s="1450"/>
      <c r="BL220" s="1188" t="s">
        <v>54</v>
      </c>
      <c r="BM220" s="607"/>
      <c r="BN220" s="1191" t="s">
        <v>599</v>
      </c>
      <c r="BO220" s="1188"/>
      <c r="BP220" s="1191" t="s">
        <v>612</v>
      </c>
      <c r="BQ220" s="1190"/>
      <c r="BR220" s="1191" t="s">
        <v>613</v>
      </c>
      <c r="BS220" s="1136" t="s">
        <v>600</v>
      </c>
      <c r="BT220" s="607"/>
      <c r="BU220" s="1192" t="s">
        <v>614</v>
      </c>
      <c r="BV220" s="1189" t="s">
        <v>616</v>
      </c>
      <c r="BW220" s="607" t="s">
        <v>617</v>
      </c>
      <c r="BX220" s="1136" t="s">
        <v>618</v>
      </c>
      <c r="BY220" s="1188" t="s">
        <v>623</v>
      </c>
      <c r="BZ220" s="1144" t="s">
        <v>620</v>
      </c>
      <c r="CA220" s="1136" t="s">
        <v>628</v>
      </c>
      <c r="CB220" s="607" t="s">
        <v>629</v>
      </c>
      <c r="CC220" s="607" t="s">
        <v>630</v>
      </c>
      <c r="CD220" s="607" t="s">
        <v>631</v>
      </c>
      <c r="CE220" s="1136" t="s">
        <v>632</v>
      </c>
      <c r="CF220" s="607" t="s">
        <v>633</v>
      </c>
      <c r="CG220" s="1136" t="s">
        <v>634</v>
      </c>
      <c r="CH220" s="1456" t="s">
        <v>1430</v>
      </c>
    </row>
    <row r="221" spans="1:86" s="311" customFormat="1" ht="13.5" thickBot="1">
      <c r="A221" s="14"/>
      <c r="B221" s="518" t="s">
        <v>1212</v>
      </c>
      <c r="C221" s="62"/>
      <c r="D221" s="62"/>
      <c r="E221" s="62"/>
      <c r="F221" s="7"/>
      <c r="H221" s="62"/>
      <c r="I221" s="514" t="s">
        <v>1211</v>
      </c>
      <c r="J221" s="515" t="s">
        <v>1207</v>
      </c>
      <c r="K221" s="63" t="s">
        <v>864</v>
      </c>
      <c r="L221" s="9"/>
      <c r="M221" s="9"/>
      <c r="N221" s="9"/>
      <c r="O221" s="9"/>
      <c r="P221" s="9"/>
      <c r="Q221" s="9"/>
      <c r="R221" s="5"/>
      <c r="S221" s="5"/>
      <c r="T221" s="5"/>
      <c r="U221" s="5"/>
      <c r="V221" s="5"/>
      <c r="W221" s="5"/>
      <c r="X221" s="5"/>
      <c r="Y221" s="5"/>
      <c r="Z221" s="5"/>
      <c r="AA221" s="340" t="s">
        <v>865</v>
      </c>
      <c r="AJ221" s="506"/>
      <c r="BE221" s="320"/>
      <c r="BF221" s="320"/>
      <c r="BG221" s="320"/>
      <c r="BH221" s="320"/>
      <c r="BI221" s="320"/>
      <c r="BJ221" s="320"/>
      <c r="BK221" s="1450"/>
      <c r="BL221" s="1168" t="s">
        <v>54</v>
      </c>
      <c r="BM221" s="1109"/>
      <c r="BN221" s="1171" t="s">
        <v>1246</v>
      </c>
      <c r="BO221" s="1141"/>
      <c r="BP221" s="1137" t="s">
        <v>1243</v>
      </c>
      <c r="BQ221" s="1124"/>
      <c r="BR221" s="1170" t="s">
        <v>903</v>
      </c>
      <c r="BS221" s="1136" t="s">
        <v>615</v>
      </c>
      <c r="BT221" s="607"/>
      <c r="BU221" s="1170" t="s">
        <v>95</v>
      </c>
      <c r="BV221" s="1157"/>
      <c r="BW221" s="607" t="s">
        <v>615</v>
      </c>
      <c r="BX221" s="1158" t="s">
        <v>621</v>
      </c>
      <c r="BY221" s="1196" t="s">
        <v>1245</v>
      </c>
      <c r="BZ221" s="1144" t="s">
        <v>619</v>
      </c>
      <c r="CA221" s="1125"/>
      <c r="CB221" s="1108"/>
      <c r="CC221" s="1109"/>
      <c r="CD221" s="1109"/>
      <c r="CE221" s="1135" t="s">
        <v>601</v>
      </c>
      <c r="CF221" s="1161" t="s">
        <v>601</v>
      </c>
      <c r="CG221" s="1152" t="s">
        <v>601</v>
      </c>
      <c r="CH221" s="1456" t="s">
        <v>1430</v>
      </c>
    </row>
    <row r="222" spans="1:86" ht="12.75" customHeight="1">
      <c r="A222" s="9"/>
      <c r="H222" s="4"/>
      <c r="I222" s="72" t="s">
        <v>866</v>
      </c>
      <c r="J222" s="64" t="s">
        <v>867</v>
      </c>
      <c r="K222" s="65" t="s">
        <v>868</v>
      </c>
      <c r="L222" s="151"/>
      <c r="M222" s="152" t="s">
        <v>869</v>
      </c>
      <c r="N222" s="34"/>
      <c r="O222" s="34"/>
      <c r="P222" s="35"/>
      <c r="Q222" s="6"/>
      <c r="R222" s="9"/>
      <c r="AA222" s="390" t="s">
        <v>870</v>
      </c>
      <c r="AB222" s="391"/>
      <c r="AC222" s="392"/>
      <c r="AD222" s="392"/>
      <c r="AE222" s="392"/>
      <c r="AF222" s="393"/>
      <c r="AG222" s="390" t="s">
        <v>871</v>
      </c>
      <c r="AH222" s="391"/>
      <c r="AI222" s="392"/>
      <c r="AJ222" s="392"/>
      <c r="AK222" s="392"/>
      <c r="AL222" s="393"/>
      <c r="AM222" s="390" t="s">
        <v>872</v>
      </c>
      <c r="AN222" s="391"/>
      <c r="AO222" s="391"/>
      <c r="AP222" s="391"/>
      <c r="AQ222" s="391"/>
      <c r="AR222" s="394"/>
      <c r="AS222" s="390" t="s">
        <v>873</v>
      </c>
      <c r="AT222" s="391"/>
      <c r="AU222" s="392"/>
      <c r="AV222" s="392"/>
      <c r="AW222" s="392"/>
      <c r="AX222" s="393"/>
      <c r="AY222" s="390" t="s">
        <v>874</v>
      </c>
      <c r="AZ222" s="391"/>
      <c r="BA222" s="392"/>
      <c r="BB222" s="392"/>
      <c r="BC222" s="392"/>
      <c r="BD222" s="393"/>
      <c r="BE222" s="390" t="s">
        <v>875</v>
      </c>
      <c r="BF222" s="391"/>
      <c r="BG222" s="392"/>
      <c r="BH222" s="392"/>
      <c r="BI222" s="392"/>
      <c r="BJ222" s="393"/>
      <c r="BK222" s="1451"/>
      <c r="BL222" s="1141" t="s">
        <v>1234</v>
      </c>
      <c r="BM222" s="1117" t="s">
        <v>596</v>
      </c>
      <c r="BN222" s="1126" t="s">
        <v>1234</v>
      </c>
      <c r="BO222" s="1141"/>
      <c r="BP222" s="1137" t="s">
        <v>1234</v>
      </c>
      <c r="BQ222" s="1140" t="s">
        <v>1238</v>
      </c>
      <c r="BR222" s="1170" t="s">
        <v>1234</v>
      </c>
      <c r="BS222" s="1120" t="s">
        <v>35</v>
      </c>
      <c r="BT222" s="1117"/>
      <c r="BU222" s="1170" t="s">
        <v>1234</v>
      </c>
      <c r="BV222" s="1140" t="s">
        <v>854</v>
      </c>
      <c r="BW222" s="1117" t="s">
        <v>35</v>
      </c>
      <c r="BX222" s="1158" t="s">
        <v>1244</v>
      </c>
      <c r="BY222" s="1194" t="s">
        <v>624</v>
      </c>
      <c r="BZ222" s="1145" t="s">
        <v>821</v>
      </c>
      <c r="CA222" s="1118" t="s">
        <v>598</v>
      </c>
      <c r="CB222" s="607" t="s">
        <v>1239</v>
      </c>
      <c r="CC222" s="607" t="s">
        <v>1240</v>
      </c>
      <c r="CD222" s="607" t="s">
        <v>34</v>
      </c>
      <c r="CE222" s="1149" t="s">
        <v>1246</v>
      </c>
      <c r="CF222" s="1162" t="s">
        <v>95</v>
      </c>
      <c r="CG222" s="1153" t="s">
        <v>1241</v>
      </c>
      <c r="CH222" s="1455" t="s">
        <v>1430</v>
      </c>
    </row>
    <row r="223" spans="1:86" ht="12" customHeight="1">
      <c r="B223" s="153" t="s">
        <v>876</v>
      </c>
      <c r="C223" s="34"/>
      <c r="D223" s="35"/>
      <c r="E223" s="154" t="s">
        <v>93</v>
      </c>
      <c r="F223" s="34" t="s">
        <v>95</v>
      </c>
      <c r="G223" s="34"/>
      <c r="H223" s="32" t="s">
        <v>877</v>
      </c>
      <c r="I223" s="46" t="str">
        <f>"-lung"</f>
        <v>-lung</v>
      </c>
      <c r="J223" s="47" t="s">
        <v>878</v>
      </c>
      <c r="K223" s="66" t="s">
        <v>879</v>
      </c>
      <c r="L223" s="4"/>
      <c r="M223" s="150" t="s">
        <v>880</v>
      </c>
      <c r="N223" s="36"/>
      <c r="O223" s="36"/>
      <c r="P223" s="37"/>
      <c r="Q223" s="6"/>
      <c r="AA223" s="395" t="s">
        <v>59</v>
      </c>
      <c r="AB223" s="396"/>
      <c r="AC223" s="397" t="s">
        <v>881</v>
      </c>
      <c r="AD223" s="398"/>
      <c r="AE223" s="398"/>
      <c r="AF223" s="399"/>
      <c r="AG223" s="395" t="s">
        <v>59</v>
      </c>
      <c r="AH223" s="396"/>
      <c r="AI223" s="397" t="s">
        <v>881</v>
      </c>
      <c r="AJ223" s="398"/>
      <c r="AK223" s="398"/>
      <c r="AL223" s="399"/>
      <c r="AM223" s="395" t="s">
        <v>59</v>
      </c>
      <c r="AN223" s="396"/>
      <c r="AO223" s="397" t="s">
        <v>881</v>
      </c>
      <c r="AP223" s="398"/>
      <c r="AQ223" s="398"/>
      <c r="AR223" s="399"/>
      <c r="AS223" s="395" t="s">
        <v>59</v>
      </c>
      <c r="AT223" s="396"/>
      <c r="AU223" s="397" t="s">
        <v>881</v>
      </c>
      <c r="AV223" s="398"/>
      <c r="AW223" s="398"/>
      <c r="AX223" s="399"/>
      <c r="AY223" s="395" t="s">
        <v>59</v>
      </c>
      <c r="AZ223" s="396"/>
      <c r="BA223" s="397" t="s">
        <v>881</v>
      </c>
      <c r="BB223" s="398"/>
      <c r="BC223" s="398"/>
      <c r="BD223" s="399"/>
      <c r="BE223" s="395" t="s">
        <v>59</v>
      </c>
      <c r="BF223" s="396"/>
      <c r="BG223" s="397" t="s">
        <v>881</v>
      </c>
      <c r="BH223" s="398"/>
      <c r="BI223" s="398"/>
      <c r="BJ223" s="399"/>
      <c r="BK223" s="1451"/>
      <c r="BL223" s="1141" t="s">
        <v>1235</v>
      </c>
      <c r="BM223" s="1117" t="s">
        <v>901</v>
      </c>
      <c r="BN223" s="1126" t="s">
        <v>902</v>
      </c>
      <c r="BO223" s="1141" t="s">
        <v>1238</v>
      </c>
      <c r="BP223" s="1126" t="s">
        <v>902</v>
      </c>
      <c r="BQ223" s="1124"/>
      <c r="BR223" s="1137" t="s">
        <v>902</v>
      </c>
      <c r="BS223" s="1120" t="s">
        <v>1237</v>
      </c>
      <c r="BT223" s="1117" t="s">
        <v>1238</v>
      </c>
      <c r="BU223" s="1137" t="s">
        <v>902</v>
      </c>
      <c r="BV223" s="1141" t="s">
        <v>35</v>
      </c>
      <c r="BW223" s="1117" t="s">
        <v>622</v>
      </c>
      <c r="BX223" s="1158" t="s">
        <v>95</v>
      </c>
      <c r="BY223" s="1195" t="s">
        <v>1236</v>
      </c>
      <c r="BZ223" s="1193" t="s">
        <v>902</v>
      </c>
      <c r="CA223" s="1118"/>
      <c r="CB223" s="1117" t="s">
        <v>625</v>
      </c>
      <c r="CC223" s="1117" t="s">
        <v>627</v>
      </c>
      <c r="CD223" s="1117" t="s">
        <v>626</v>
      </c>
      <c r="CE223" s="1149"/>
      <c r="CF223" s="1162"/>
      <c r="CG223" s="1153"/>
      <c r="CH223" s="1455" t="s">
        <v>1430</v>
      </c>
    </row>
    <row r="224" spans="1:86" ht="12" customHeight="1" thickBot="1">
      <c r="B224" s="40"/>
      <c r="C224" s="41"/>
      <c r="D224" s="42"/>
      <c r="E224" s="25"/>
      <c r="F224" s="38" t="s">
        <v>119</v>
      </c>
      <c r="G224" s="39" t="s">
        <v>118</v>
      </c>
      <c r="H224" s="33" t="s">
        <v>882</v>
      </c>
      <c r="I224" s="168" t="s">
        <v>771</v>
      </c>
      <c r="J224" s="47" t="s">
        <v>31</v>
      </c>
      <c r="K224" s="66" t="s">
        <v>31</v>
      </c>
      <c r="L224" s="69" t="s">
        <v>883</v>
      </c>
      <c r="M224" s="69" t="s">
        <v>884</v>
      </c>
      <c r="N224" s="69" t="s">
        <v>885</v>
      </c>
      <c r="O224" s="70" t="s">
        <v>886</v>
      </c>
      <c r="P224" s="71" t="s">
        <v>124</v>
      </c>
      <c r="Q224" s="271"/>
      <c r="S224" s="4"/>
      <c r="T224" s="4"/>
      <c r="U224" s="4"/>
      <c r="V224" s="4"/>
      <c r="W224" s="4"/>
      <c r="AA224" s="400" t="s">
        <v>887</v>
      </c>
      <c r="AB224" s="401" t="s">
        <v>888</v>
      </c>
      <c r="AC224" s="401" t="s">
        <v>889</v>
      </c>
      <c r="AD224" s="401" t="s">
        <v>890</v>
      </c>
      <c r="AE224" s="401" t="s">
        <v>891</v>
      </c>
      <c r="AF224" s="402" t="s">
        <v>64</v>
      </c>
      <c r="AG224" s="400" t="s">
        <v>887</v>
      </c>
      <c r="AH224" s="401" t="s">
        <v>888</v>
      </c>
      <c r="AI224" s="401" t="s">
        <v>889</v>
      </c>
      <c r="AJ224" s="401" t="s">
        <v>890</v>
      </c>
      <c r="AK224" s="401" t="s">
        <v>891</v>
      </c>
      <c r="AL224" s="402" t="s">
        <v>64</v>
      </c>
      <c r="AM224" s="400" t="s">
        <v>887</v>
      </c>
      <c r="AN224" s="401" t="s">
        <v>888</v>
      </c>
      <c r="AO224" s="401" t="s">
        <v>889</v>
      </c>
      <c r="AP224" s="401" t="s">
        <v>890</v>
      </c>
      <c r="AQ224" s="401" t="s">
        <v>891</v>
      </c>
      <c r="AR224" s="402" t="s">
        <v>64</v>
      </c>
      <c r="AS224" s="400" t="s">
        <v>892</v>
      </c>
      <c r="AT224" s="401" t="s">
        <v>888</v>
      </c>
      <c r="AU224" s="401" t="s">
        <v>889</v>
      </c>
      <c r="AV224" s="401" t="s">
        <v>890</v>
      </c>
      <c r="AW224" s="401" t="s">
        <v>891</v>
      </c>
      <c r="AX224" s="402" t="s">
        <v>64</v>
      </c>
      <c r="AY224" s="400" t="s">
        <v>892</v>
      </c>
      <c r="AZ224" s="401" t="s">
        <v>888</v>
      </c>
      <c r="BA224" s="401" t="s">
        <v>889</v>
      </c>
      <c r="BB224" s="401" t="s">
        <v>890</v>
      </c>
      <c r="BC224" s="401" t="s">
        <v>891</v>
      </c>
      <c r="BD224" s="402" t="s">
        <v>64</v>
      </c>
      <c r="BE224" s="400" t="s">
        <v>892</v>
      </c>
      <c r="BF224" s="401" t="s">
        <v>888</v>
      </c>
      <c r="BG224" s="401" t="s">
        <v>889</v>
      </c>
      <c r="BH224" s="401" t="s">
        <v>890</v>
      </c>
      <c r="BI224" s="401" t="s">
        <v>891</v>
      </c>
      <c r="BJ224" s="402" t="s">
        <v>64</v>
      </c>
      <c r="BK224" s="1451"/>
      <c r="BL224" s="1142" t="s">
        <v>597</v>
      </c>
      <c r="BM224" s="1115" t="s">
        <v>597</v>
      </c>
      <c r="BN224" s="1127" t="s">
        <v>597</v>
      </c>
      <c r="BO224" s="1142"/>
      <c r="BP224" s="1138" t="s">
        <v>597</v>
      </c>
      <c r="BQ224" s="1129"/>
      <c r="BR224" s="1138" t="s">
        <v>597</v>
      </c>
      <c r="BS224" s="1121" t="s">
        <v>613</v>
      </c>
      <c r="BT224" s="1115"/>
      <c r="BU224" s="1138" t="s">
        <v>597</v>
      </c>
      <c r="BV224" s="1142"/>
      <c r="BW224" s="1115" t="s">
        <v>597</v>
      </c>
      <c r="BX224" s="1159" t="s">
        <v>597</v>
      </c>
      <c r="BY224" s="1197" t="s">
        <v>597</v>
      </c>
      <c r="BZ224" s="1146" t="s">
        <v>597</v>
      </c>
      <c r="CA224" s="1121" t="s">
        <v>597</v>
      </c>
      <c r="CB224" s="1115"/>
      <c r="CC224" s="1115"/>
      <c r="CD224" s="1115"/>
      <c r="CE224" s="1150" t="s">
        <v>889</v>
      </c>
      <c r="CF224" s="1163" t="s">
        <v>889</v>
      </c>
      <c r="CG224" s="1154" t="s">
        <v>889</v>
      </c>
      <c r="CH224" s="1455" t="s">
        <v>1430</v>
      </c>
    </row>
    <row r="225" spans="1:86" ht="12" customHeight="1">
      <c r="A225" s="467"/>
      <c r="B225" s="468" t="s">
        <v>130</v>
      </c>
      <c r="C225" s="2673" t="s">
        <v>893</v>
      </c>
      <c r="D225" s="2674">
        <f>B18</f>
        <v>0</v>
      </c>
      <c r="E225" s="2256">
        <f>IF(ISNUMBER(F18),F18,)</f>
        <v>0</v>
      </c>
      <c r="F225" s="469">
        <f>H18</f>
        <v>0</v>
      </c>
      <c r="G225" s="469">
        <f>I18</f>
        <v>0</v>
      </c>
      <c r="H225" s="470">
        <f>(E225-E225*F225*G225/24/365)*IF(D225&lt;7500,(1+0.05*(D225-7500)/1000),(1+0.05*(D225-7500)/1000))</f>
        <v>0</v>
      </c>
      <c r="I225" s="2675"/>
      <c r="J225" s="2676"/>
      <c r="K225" s="2677"/>
      <c r="L225" s="2254">
        <f>IF(ISNUMBER(L18),BP225+BR225+BS225,)</f>
        <v>0</v>
      </c>
      <c r="M225" s="2254">
        <f>IF(ISNUMBER(L18),CG225,)</f>
        <v>0</v>
      </c>
      <c r="N225" s="2254">
        <f>IF(ISNUMBER(M18),(M18-IF($K$35=0,0,$K$36/$K$35*K18*0.1))*(1-$F225*$G225/24/365),)</f>
        <v>0</v>
      </c>
      <c r="O225" s="2254">
        <f>IF(ISNUMBER(N18),N18*(1-$F225*$G225/24/365),)</f>
        <v>0</v>
      </c>
      <c r="P225" s="2255">
        <f>IF(ISNUMBER(O18),O18*(1-$F225*$G225/24/365),)</f>
        <v>0</v>
      </c>
      <c r="Q225" s="301">
        <f>IF(AND(E225&gt;0,I225=0),"Aufstallungscode fehlt",IF(AND(E225&gt;0,SUM(J225:K225)&lt;1),"Grube / Stock fehlt",IF(COUNTIF(J225:K225,"&gt;3")&gt;0,"Nr-Grube/Stock falsch",)))</f>
        <v>0</v>
      </c>
      <c r="R225" s="110"/>
      <c r="S225" s="110"/>
      <c r="T225" s="110"/>
      <c r="U225" s="110"/>
      <c r="V225" s="110"/>
      <c r="W225" s="110"/>
      <c r="X225" s="4"/>
      <c r="Y225" s="4"/>
      <c r="Z225" s="4"/>
      <c r="AA225" s="403">
        <f t="shared" ref="AA225:AA240" si="43">IF($J225=1,$H225*HLOOKUP($I225,$AT$198:$BG$209,6),0)</f>
        <v>0</v>
      </c>
      <c r="AB225" s="404">
        <f t="shared" ref="AB225:AB240" si="44">IF($J225=1,$L225*HLOOKUP($I225,$AT$198:$BG$209,8),0)</f>
        <v>0</v>
      </c>
      <c r="AC225" s="404">
        <f t="shared" ref="AC225:AC240" si="45">IF($J225=1,$M225*HLOOKUP($I225,$AT$198:$BG$209,9),0)</f>
        <v>0</v>
      </c>
      <c r="AD225" s="404">
        <f t="shared" ref="AD225:AD240" si="46">IF($J225=1,$N225*HLOOKUP($I225,$AT$198:$BG$209,10),0)</f>
        <v>0</v>
      </c>
      <c r="AE225" s="404">
        <f t="shared" ref="AE225:AE240" si="47">IF($J225=1,$O225*HLOOKUP($I225,$AT$198:$BG$209,11),0)</f>
        <v>0</v>
      </c>
      <c r="AF225" s="405">
        <f t="shared" ref="AF225:AF240" si="48">IF($J225=1,$P225*HLOOKUP($I225,$AT$198:$BG$209,12),0)</f>
        <v>0</v>
      </c>
      <c r="AG225" s="403">
        <f t="shared" ref="AG225:AG240" si="49">IF($J225=2,$H225*HLOOKUP($I225,$AT$198:$BG$209,6),0)</f>
        <v>0</v>
      </c>
      <c r="AH225" s="404">
        <f t="shared" ref="AH225:AH240" si="50">IF($J225=2,$L225*HLOOKUP($I225,$AT$198:$BG$209,8),0)</f>
        <v>0</v>
      </c>
      <c r="AI225" s="404">
        <f t="shared" ref="AI225:AI240" si="51">IF($J225=2,$M225*HLOOKUP($I225,$AT$198:$BG$209,9),0)</f>
        <v>0</v>
      </c>
      <c r="AJ225" s="404">
        <f t="shared" ref="AJ225:AJ240" si="52">IF($J225=2,$N225*HLOOKUP($I225,$AT$198:$BG$209,10),0)</f>
        <v>0</v>
      </c>
      <c r="AK225" s="404">
        <f t="shared" ref="AK225:AK240" si="53">IF($J225=2,$O225*HLOOKUP($I225,$AT$198:$BG$209,11),0)</f>
        <v>0</v>
      </c>
      <c r="AL225" s="405">
        <f t="shared" ref="AL225:AL240" si="54">IF($J225=2,$P225*HLOOKUP($I225,$AT$198:$BG$209,12),0)</f>
        <v>0</v>
      </c>
      <c r="AM225" s="403">
        <f t="shared" ref="AM225:AM240" si="55">IF($J225=3,$H225*HLOOKUP($I225,$AT$198:$BG$209,6),0)</f>
        <v>0</v>
      </c>
      <c r="AN225" s="404">
        <f t="shared" ref="AN225:AN240" si="56">IF($J225=3,$L225*HLOOKUP($I225,$AT$198:$BG$209,8),0)</f>
        <v>0</v>
      </c>
      <c r="AO225" s="404">
        <f t="shared" ref="AO225:AO240" si="57">IF($J225=3,$M225*HLOOKUP($I225,$AT$198:$BG$209,9),0)</f>
        <v>0</v>
      </c>
      <c r="AP225" s="404">
        <f t="shared" ref="AP225:AP240" si="58">IF($J225=3,$N225*HLOOKUP($I225,$AT$198:$BG$209,10),0)</f>
        <v>0</v>
      </c>
      <c r="AQ225" s="404">
        <f t="shared" ref="AQ225:AQ240" si="59">IF($J225=3,$O225*HLOOKUP($I225,$AT$198:$BG$209,11),0)</f>
        <v>0</v>
      </c>
      <c r="AR225" s="405">
        <f t="shared" ref="AR225:AR240" si="60">IF($J225=3,$P225*HLOOKUP($I225,$AT$198:$BG$209,12),0)</f>
        <v>0</v>
      </c>
      <c r="AS225" s="403">
        <f t="shared" ref="AS225:AS240" si="61">IF($K225=1,$H225*HLOOKUP($I225,$AT$198:$BG$209,7),0)</f>
        <v>0</v>
      </c>
      <c r="AT225" s="404">
        <f t="shared" ref="AT225:AT240" si="62">IF($K225=1,$L225*(1-HLOOKUP($I225,$AT$198:$BG$209,8)),0)</f>
        <v>0</v>
      </c>
      <c r="AU225" s="404">
        <f t="shared" ref="AU225:AU240" si="63">IF($K225=1,$M225*(1-HLOOKUP($I225,$AT$198:$BG$209,9)),0)</f>
        <v>0</v>
      </c>
      <c r="AV225" s="404">
        <f t="shared" ref="AV225:AV240" si="64">IF($K225=1,$N225*(1-HLOOKUP($I225,$AT$198:$BG$209,10)),0)</f>
        <v>0</v>
      </c>
      <c r="AW225" s="404">
        <f t="shared" ref="AW225:AW240" si="65">IF($K225=1,$O225*(1-HLOOKUP($I225,$AT$198:$BG$209,11)),0)</f>
        <v>0</v>
      </c>
      <c r="AX225" s="405">
        <f t="shared" ref="AX225:AX240" si="66">IF($K225=1,$P225*(1-HLOOKUP($I225,$AT$198:$BG$209,12)),0)</f>
        <v>0</v>
      </c>
      <c r="AY225" s="403">
        <f t="shared" ref="AY225:AY240" si="67">IF($K225=2,$H225*HLOOKUP($I225,$AT$198:$BG$209,7),0)</f>
        <v>0</v>
      </c>
      <c r="AZ225" s="404">
        <f t="shared" ref="AZ225:AZ240" si="68">IF($K225=2,$L225*(1-HLOOKUP($I225,$AT$198:$BG$209,8)),0)</f>
        <v>0</v>
      </c>
      <c r="BA225" s="404">
        <f t="shared" ref="BA225:BA240" si="69">IF($K225=2,$M225*(1-HLOOKUP($I225,$AT$198:$BG$209,9)),0)</f>
        <v>0</v>
      </c>
      <c r="BB225" s="404">
        <f t="shared" ref="BB225:BB240" si="70">IF($K225=2,$N225*(1-HLOOKUP($I225,$AT$198:$BG$209,10)),0)</f>
        <v>0</v>
      </c>
      <c r="BC225" s="404">
        <f t="shared" ref="BC225:BC240" si="71">IF($K225=2,$O225*(1-HLOOKUP($I225,$AT$198:$BG$209,11)),0)</f>
        <v>0</v>
      </c>
      <c r="BD225" s="405">
        <f t="shared" ref="BD225:BD240" si="72">IF($K225=2,$P225*(1-HLOOKUP($I225,$AT$198:$BG$209,12)),0)</f>
        <v>0</v>
      </c>
      <c r="BE225" s="403">
        <f t="shared" ref="BE225:BE240" si="73">IF($K225=3,$H225*HLOOKUP($I225,$AT$198:$BG$209,7),0)</f>
        <v>0</v>
      </c>
      <c r="BF225" s="404">
        <f t="shared" ref="BF225:BF240" si="74">IF($K225=3,$L225*(1-HLOOKUP($I225,$AT$198:$BG$209,8)),0)</f>
        <v>0</v>
      </c>
      <c r="BG225" s="404">
        <f t="shared" ref="BG225:BG240" si="75">IF($K225=3,$M225*(1-HLOOKUP($I225,$AT$198:$BG$209,9)),0)</f>
        <v>0</v>
      </c>
      <c r="BH225" s="404">
        <f t="shared" ref="BH225:BH240" si="76">IF($K225=3,$N225*(1-HLOOKUP($I225,$AT$198:$BG$209,10)),0)</f>
        <v>0</v>
      </c>
      <c r="BI225" s="404">
        <f t="shared" ref="BI225:BI240" si="77">IF($K225=3,$O225*(1-HLOOKUP($I225,$AT$198:$BG$209,11)),0)</f>
        <v>0</v>
      </c>
      <c r="BJ225" s="405">
        <f t="shared" ref="BJ225:BJ240" si="78">IF($K225=3,$P225*(1-HLOOKUP($I225,$AT$198:$BG$209,12)),0)</f>
        <v>0</v>
      </c>
      <c r="BK225" s="1451"/>
      <c r="BL225" s="1169">
        <f>IF(ISNUMBER(L18),L18,)</f>
        <v>0</v>
      </c>
      <c r="BM225" s="1116">
        <f>IF(AND($K$36&gt;0,ISNUMBER($K18)),$L$36*$K18/$K$35,)</f>
        <v>0</v>
      </c>
      <c r="BN225" s="1128">
        <f t="shared" ref="BN225:BN240" si="79">BL225+BM225</f>
        <v>0</v>
      </c>
      <c r="BO225" s="1139">
        <f>IF(ISNUMBER(L18),1-BQ225-BT225,)</f>
        <v>0</v>
      </c>
      <c r="BP225" s="1130">
        <f t="shared" ref="BP225:BP240" si="80">BN225*BO225</f>
        <v>0</v>
      </c>
      <c r="BQ225" s="1139">
        <f>IF(P18&gt;0,G18*(24*0.1)/24/365,)</f>
        <v>0</v>
      </c>
      <c r="BR225" s="1130">
        <f t="shared" ref="BR225:BR240" si="81">BN225*BQ225</f>
        <v>0</v>
      </c>
      <c r="BS225" s="1119">
        <f>IF($BR$241&gt;0,-$BS$242/$BR$241*BR225,)</f>
        <v>0</v>
      </c>
      <c r="BT225" s="1132">
        <f>IF(ISNUMBER(L18),H18*I18/24/365,)</f>
        <v>0</v>
      </c>
      <c r="BU225" s="1130">
        <f>IF(L18=0,0,BN225*BT225)</f>
        <v>0</v>
      </c>
      <c r="BV225" s="1187">
        <f>IF(Q18=0,0,BU225)</f>
        <v>0</v>
      </c>
      <c r="BW225" s="1116">
        <f>IF(AND(ISNUMBER(Q18),Q18&lt;&gt;0,$BW$242&gt;0),-$BW$242/$BV$241*BV225,)</f>
        <v>0</v>
      </c>
      <c r="BX225" s="1160">
        <f t="shared" ref="BX225:BX240" si="82">BU225+BW225</f>
        <v>0</v>
      </c>
      <c r="BY225" s="1143">
        <f t="shared" ref="BY225:BY240" si="83">BN225+BS225+BW225</f>
        <v>0</v>
      </c>
      <c r="BZ225" s="1147">
        <f>BP225*J18/100</f>
        <v>0</v>
      </c>
      <c r="CA225" s="1119">
        <f t="shared" ref="CA225:CA240" si="84">BY225-BZ225</f>
        <v>0</v>
      </c>
      <c r="CB225" s="1116" t="e">
        <f>$CB$242/$BY$241*BY225</f>
        <v>#DIV/0!</v>
      </c>
      <c r="CC225" s="1116" t="e">
        <f>IF(($BY$241-$BX$241)&gt;0,$CC$242/($BY$241-$BX$241)*(BY225-BX225),$CC$242/$BY$241*BY225)</f>
        <v>#DIV/0!</v>
      </c>
      <c r="CD225" s="1116">
        <f>IF(BZ225&gt;0,$CD$242/$BZ$241*BZ225,)</f>
        <v>0</v>
      </c>
      <c r="CE225" s="1151" t="e">
        <f>BY225-SUM(CB225:CD225)</f>
        <v>#DIV/0!</v>
      </c>
      <c r="CF225" s="1164" t="e">
        <f>IF(BW225=0,IF((0.6-0.12)*ABS(BX225)&gt;ABS(CE225),CE225,(0.6-0.12)*BX225),IF(0.6*ABS(BX225)&gt;ABS(CE225),CE225,0.6*BX225))</f>
        <v>#DIV/0!</v>
      </c>
      <c r="CG225" s="1155" t="e">
        <f>CE225-CF225</f>
        <v>#DIV/0!</v>
      </c>
      <c r="CH225" s="1458" t="s">
        <v>1430</v>
      </c>
    </row>
    <row r="226" spans="1:86" ht="12" hidden="1" customHeight="1">
      <c r="A226" s="2866" t="s">
        <v>1810</v>
      </c>
      <c r="B226" s="2898"/>
      <c r="C226" s="2899"/>
      <c r="D226" s="2900"/>
      <c r="E226" s="2870"/>
      <c r="F226" s="2871"/>
      <c r="G226" s="2871"/>
      <c r="H226" s="2871"/>
      <c r="I226" s="2911"/>
      <c r="J226" s="2912"/>
      <c r="K226" s="2913"/>
      <c r="L226" s="2875"/>
      <c r="M226" s="2875"/>
      <c r="N226" s="2875"/>
      <c r="O226" s="2875"/>
      <c r="P226" s="2876"/>
      <c r="Q226" s="2877"/>
      <c r="R226" s="2878"/>
      <c r="S226" s="2878"/>
      <c r="T226" s="2878"/>
      <c r="U226" s="2878"/>
      <c r="V226" s="2878"/>
      <c r="W226" s="2878"/>
      <c r="X226" s="2878"/>
      <c r="Y226" s="2878"/>
      <c r="Z226" s="2878"/>
      <c r="AA226" s="2879"/>
      <c r="AB226" s="2880"/>
      <c r="AC226" s="2880"/>
      <c r="AD226" s="2880"/>
      <c r="AE226" s="2880"/>
      <c r="AF226" s="2881"/>
      <c r="AG226" s="2879"/>
      <c r="AH226" s="2880"/>
      <c r="AI226" s="2880"/>
      <c r="AJ226" s="2880"/>
      <c r="AK226" s="2880"/>
      <c r="AL226" s="2881"/>
      <c r="AM226" s="2879"/>
      <c r="AN226" s="2880"/>
      <c r="AO226" s="2880"/>
      <c r="AP226" s="2880"/>
      <c r="AQ226" s="2880"/>
      <c r="AR226" s="2881"/>
      <c r="AS226" s="2879"/>
      <c r="AT226" s="2880"/>
      <c r="AU226" s="2880"/>
      <c r="AV226" s="2880"/>
      <c r="AW226" s="2880"/>
      <c r="AX226" s="2881"/>
      <c r="AY226" s="2879"/>
      <c r="AZ226" s="2880"/>
      <c r="BA226" s="2880"/>
      <c r="BB226" s="2880"/>
      <c r="BC226" s="2880"/>
      <c r="BD226" s="2881"/>
      <c r="BE226" s="2879"/>
      <c r="BF226" s="2880"/>
      <c r="BG226" s="2880"/>
      <c r="BH226" s="2880"/>
      <c r="BI226" s="2880"/>
      <c r="BJ226" s="2881"/>
      <c r="BK226" s="2882"/>
      <c r="BL226" s="2883"/>
      <c r="BM226" s="2884"/>
      <c r="BN226" s="2885"/>
      <c r="BO226" s="2886"/>
      <c r="BP226" s="2887"/>
      <c r="BQ226" s="2886"/>
      <c r="BR226" s="2887"/>
      <c r="BS226" s="2888"/>
      <c r="BT226" s="2889"/>
      <c r="BU226" s="2887"/>
      <c r="BV226" s="2890"/>
      <c r="BW226" s="2884"/>
      <c r="BX226" s="2891"/>
      <c r="BY226" s="2892"/>
      <c r="BZ226" s="2893"/>
      <c r="CA226" s="2888"/>
      <c r="CB226" s="2884"/>
      <c r="CC226" s="2884"/>
      <c r="CD226" s="2884"/>
      <c r="CE226" s="2894"/>
      <c r="CF226" s="2895"/>
      <c r="CG226" s="2896"/>
      <c r="CH226" s="2884" t="s">
        <v>1430</v>
      </c>
    </row>
    <row r="227" spans="1:86" ht="12" hidden="1" customHeight="1">
      <c r="A227" s="2866" t="s">
        <v>1810</v>
      </c>
      <c r="B227" s="2898"/>
      <c r="C227" s="2899"/>
      <c r="D227" s="2900"/>
      <c r="E227" s="2870"/>
      <c r="F227" s="2871"/>
      <c r="G227" s="2871"/>
      <c r="H227" s="2871"/>
      <c r="I227" s="2911"/>
      <c r="J227" s="2912"/>
      <c r="K227" s="2913"/>
      <c r="L227" s="2875"/>
      <c r="M227" s="2875"/>
      <c r="N227" s="2875"/>
      <c r="O227" s="2875"/>
      <c r="P227" s="2901"/>
      <c r="Q227" s="2877"/>
      <c r="R227" s="2878"/>
      <c r="S227" s="2878"/>
      <c r="T227" s="2878"/>
      <c r="U227" s="2878"/>
      <c r="V227" s="2878"/>
      <c r="W227" s="2878"/>
      <c r="X227" s="2878"/>
      <c r="Y227" s="2878"/>
      <c r="Z227" s="2878"/>
      <c r="AA227" s="2879"/>
      <c r="AB227" s="2880"/>
      <c r="AC227" s="2880"/>
      <c r="AD227" s="2880"/>
      <c r="AE227" s="2880"/>
      <c r="AF227" s="2881"/>
      <c r="AG227" s="2879"/>
      <c r="AH227" s="2880"/>
      <c r="AI227" s="2880"/>
      <c r="AJ227" s="2880"/>
      <c r="AK227" s="2880"/>
      <c r="AL227" s="2881"/>
      <c r="AM227" s="2879"/>
      <c r="AN227" s="2880"/>
      <c r="AO227" s="2880"/>
      <c r="AP227" s="2880"/>
      <c r="AQ227" s="2880"/>
      <c r="AR227" s="2881"/>
      <c r="AS227" s="2879"/>
      <c r="AT227" s="2880"/>
      <c r="AU227" s="2880"/>
      <c r="AV227" s="2880"/>
      <c r="AW227" s="2880"/>
      <c r="AX227" s="2881"/>
      <c r="AY227" s="2879"/>
      <c r="AZ227" s="2880"/>
      <c r="BA227" s="2880"/>
      <c r="BB227" s="2880"/>
      <c r="BC227" s="2880"/>
      <c r="BD227" s="2881"/>
      <c r="BE227" s="2879"/>
      <c r="BF227" s="2880"/>
      <c r="BG227" s="2880"/>
      <c r="BH227" s="2880"/>
      <c r="BI227" s="2880"/>
      <c r="BJ227" s="2881"/>
      <c r="BK227" s="2882"/>
      <c r="BL227" s="2883"/>
      <c r="BM227" s="2884"/>
      <c r="BN227" s="2902"/>
      <c r="BO227" s="2886"/>
      <c r="BP227" s="2887"/>
      <c r="BQ227" s="2886"/>
      <c r="BR227" s="2887"/>
      <c r="BS227" s="2903"/>
      <c r="BT227" s="2889"/>
      <c r="BU227" s="2887"/>
      <c r="BV227" s="2890"/>
      <c r="BW227" s="2884"/>
      <c r="BX227" s="2891"/>
      <c r="BY227" s="2892"/>
      <c r="BZ227" s="2893"/>
      <c r="CA227" s="2903"/>
      <c r="CB227" s="2884"/>
      <c r="CC227" s="2884"/>
      <c r="CD227" s="2884"/>
      <c r="CE227" s="2894"/>
      <c r="CF227" s="2895"/>
      <c r="CG227" s="2904"/>
      <c r="CH227" s="2884" t="s">
        <v>1430</v>
      </c>
    </row>
    <row r="228" spans="1:86" ht="12" hidden="1" customHeight="1">
      <c r="A228" s="2866" t="s">
        <v>1810</v>
      </c>
      <c r="B228" s="2867"/>
      <c r="C228" s="2868"/>
      <c r="D228" s="2869"/>
      <c r="E228" s="2916"/>
      <c r="F228" s="2917"/>
      <c r="G228" s="2917"/>
      <c r="H228" s="2917"/>
      <c r="I228" s="2872"/>
      <c r="J228" s="2873"/>
      <c r="K228" s="2874"/>
      <c r="L228" s="2875"/>
      <c r="M228" s="2875"/>
      <c r="N228" s="2875"/>
      <c r="O228" s="2875"/>
      <c r="P228" s="2901"/>
      <c r="Q228" s="2877"/>
      <c r="R228" s="2878"/>
      <c r="S228" s="2878"/>
      <c r="T228" s="2878"/>
      <c r="U228" s="2878"/>
      <c r="V228" s="2878"/>
      <c r="W228" s="2878"/>
      <c r="X228" s="2878"/>
      <c r="Y228" s="2878"/>
      <c r="Z228" s="2878"/>
      <c r="AA228" s="2879"/>
      <c r="AB228" s="2880"/>
      <c r="AC228" s="2880"/>
      <c r="AD228" s="2880"/>
      <c r="AE228" s="2880"/>
      <c r="AF228" s="2881"/>
      <c r="AG228" s="2879"/>
      <c r="AH228" s="2880"/>
      <c r="AI228" s="2880"/>
      <c r="AJ228" s="2880"/>
      <c r="AK228" s="2880"/>
      <c r="AL228" s="2881"/>
      <c r="AM228" s="2879"/>
      <c r="AN228" s="2880"/>
      <c r="AO228" s="2880"/>
      <c r="AP228" s="2880"/>
      <c r="AQ228" s="2880"/>
      <c r="AR228" s="2881"/>
      <c r="AS228" s="2879"/>
      <c r="AT228" s="2880"/>
      <c r="AU228" s="2880"/>
      <c r="AV228" s="2880"/>
      <c r="AW228" s="2880"/>
      <c r="AX228" s="2881"/>
      <c r="AY228" s="2879"/>
      <c r="AZ228" s="2880"/>
      <c r="BA228" s="2880"/>
      <c r="BB228" s="2880"/>
      <c r="BC228" s="2880"/>
      <c r="BD228" s="2881"/>
      <c r="BE228" s="2879"/>
      <c r="BF228" s="2880"/>
      <c r="BG228" s="2880"/>
      <c r="BH228" s="2880"/>
      <c r="BI228" s="2880"/>
      <c r="BJ228" s="2881"/>
      <c r="BK228" s="2882"/>
      <c r="BL228" s="2883"/>
      <c r="BM228" s="2884"/>
      <c r="BN228" s="2902"/>
      <c r="BO228" s="2886"/>
      <c r="BP228" s="2887"/>
      <c r="BQ228" s="2886"/>
      <c r="BR228" s="2887"/>
      <c r="BS228" s="2903"/>
      <c r="BT228" s="2889"/>
      <c r="BU228" s="2887"/>
      <c r="BV228" s="2890"/>
      <c r="BW228" s="2884"/>
      <c r="BX228" s="2891"/>
      <c r="BY228" s="2892"/>
      <c r="BZ228" s="2893"/>
      <c r="CA228" s="2903"/>
      <c r="CB228" s="2884"/>
      <c r="CC228" s="2884"/>
      <c r="CD228" s="2884"/>
      <c r="CE228" s="2894"/>
      <c r="CF228" s="2895"/>
      <c r="CG228" s="2904"/>
      <c r="CH228" s="2884" t="s">
        <v>1430</v>
      </c>
    </row>
    <row r="229" spans="1:86" ht="12" hidden="1" customHeight="1">
      <c r="A229" s="922" t="str">
        <f t="shared" ref="A229" si="85">A22</f>
        <v>miz_550</v>
      </c>
      <c r="B229" s="2914" t="str">
        <f>B22</f>
        <v>Milchziegen</v>
      </c>
      <c r="C229" s="2906" t="s">
        <v>1952</v>
      </c>
      <c r="D229" s="2915">
        <f>E22</f>
        <v>0</v>
      </c>
      <c r="E229" s="2256">
        <f>IF(ISNUMBER(F22),F22,)</f>
        <v>0</v>
      </c>
      <c r="F229" s="470">
        <f>H22</f>
        <v>0</v>
      </c>
      <c r="G229" s="470">
        <f>I22</f>
        <v>0</v>
      </c>
      <c r="H229" s="470">
        <f>IF(LEFT(A229,2)="ie",N229/35,(E229-E229*F229*G229/24/365)*(VLOOKUP($A229,Daten!$E$289:$M$391,9,FALSE)))</f>
        <v>0</v>
      </c>
      <c r="I229" s="1363"/>
      <c r="J229" s="1364"/>
      <c r="K229" s="1365"/>
      <c r="L229" s="2254">
        <f>IF(ISNUMBER(L22),BP229+BR229+BS229,)</f>
        <v>0</v>
      </c>
      <c r="M229" s="2254">
        <f>IF(ISNUMBER(L22),CG229,)</f>
        <v>0</v>
      </c>
      <c r="N229" s="2254">
        <f>IF(ISNUMBER(M22),(M22-IF($K$35=0,0,$K$36/$K$35*K22*0.1))*(1-$F229*$G229/24/365),)</f>
        <v>0</v>
      </c>
      <c r="O229" s="2254">
        <f>IF(ISNUMBER(N22),N22*(1-$F229*$G229/24/365),)</f>
        <v>0</v>
      </c>
      <c r="P229" s="2255">
        <f>IF(ISNUMBER(O22),O22*(1-$F229*$G229/24/365),)</f>
        <v>0</v>
      </c>
      <c r="Q229" s="301">
        <f t="shared" ref="Q229" si="86">IF(AND(E229&gt;0,I229=0),"Aufstallungscode fehlt",IF(AND(E229&gt;0,SUM(J229:K229)&lt;1),"Grube / Stock fehlt",IF(COUNTIF(J229:K229,"&gt;3")&gt;0,"Nr-Grube/Stock falsch",IF(A229="gfzs","Code+Nr.wie Tiere die dieses GF fressen",))))</f>
        <v>0</v>
      </c>
      <c r="R229" s="110"/>
      <c r="S229" s="110"/>
      <c r="T229" s="110"/>
      <c r="U229" s="110"/>
      <c r="V229" s="110"/>
      <c r="W229" s="110"/>
      <c r="AA229" s="406">
        <f t="shared" si="43"/>
        <v>0</v>
      </c>
      <c r="AB229" s="407">
        <f t="shared" si="44"/>
        <v>0</v>
      </c>
      <c r="AC229" s="407">
        <f t="shared" si="45"/>
        <v>0</v>
      </c>
      <c r="AD229" s="407">
        <f t="shared" si="46"/>
        <v>0</v>
      </c>
      <c r="AE229" s="407">
        <f t="shared" si="47"/>
        <v>0</v>
      </c>
      <c r="AF229" s="408">
        <f t="shared" si="48"/>
        <v>0</v>
      </c>
      <c r="AG229" s="406">
        <f t="shared" si="49"/>
        <v>0</v>
      </c>
      <c r="AH229" s="407">
        <f t="shared" si="50"/>
        <v>0</v>
      </c>
      <c r="AI229" s="407">
        <f t="shared" si="51"/>
        <v>0</v>
      </c>
      <c r="AJ229" s="407">
        <f t="shared" si="52"/>
        <v>0</v>
      </c>
      <c r="AK229" s="407">
        <f t="shared" si="53"/>
        <v>0</v>
      </c>
      <c r="AL229" s="408">
        <f t="shared" si="54"/>
        <v>0</v>
      </c>
      <c r="AM229" s="406">
        <f t="shared" si="55"/>
        <v>0</v>
      </c>
      <c r="AN229" s="407">
        <f t="shared" si="56"/>
        <v>0</v>
      </c>
      <c r="AO229" s="407">
        <f t="shared" si="57"/>
        <v>0</v>
      </c>
      <c r="AP229" s="407">
        <f t="shared" si="58"/>
        <v>0</v>
      </c>
      <c r="AQ229" s="407">
        <f t="shared" si="59"/>
        <v>0</v>
      </c>
      <c r="AR229" s="408">
        <f t="shared" si="60"/>
        <v>0</v>
      </c>
      <c r="AS229" s="406">
        <f t="shared" si="61"/>
        <v>0</v>
      </c>
      <c r="AT229" s="407">
        <f t="shared" si="62"/>
        <v>0</v>
      </c>
      <c r="AU229" s="407">
        <f t="shared" si="63"/>
        <v>0</v>
      </c>
      <c r="AV229" s="407">
        <f t="shared" si="64"/>
        <v>0</v>
      </c>
      <c r="AW229" s="407">
        <f t="shared" si="65"/>
        <v>0</v>
      </c>
      <c r="AX229" s="408">
        <f t="shared" si="66"/>
        <v>0</v>
      </c>
      <c r="AY229" s="406">
        <f t="shared" si="67"/>
        <v>0</v>
      </c>
      <c r="AZ229" s="407">
        <f t="shared" si="68"/>
        <v>0</v>
      </c>
      <c r="BA229" s="407">
        <f t="shared" si="69"/>
        <v>0</v>
      </c>
      <c r="BB229" s="407">
        <f t="shared" si="70"/>
        <v>0</v>
      </c>
      <c r="BC229" s="407">
        <f t="shared" si="71"/>
        <v>0</v>
      </c>
      <c r="BD229" s="408">
        <f t="shared" si="72"/>
        <v>0</v>
      </c>
      <c r="BE229" s="406">
        <f t="shared" si="73"/>
        <v>0</v>
      </c>
      <c r="BF229" s="407">
        <f t="shared" si="74"/>
        <v>0</v>
      </c>
      <c r="BG229" s="407">
        <f t="shared" si="75"/>
        <v>0</v>
      </c>
      <c r="BH229" s="407">
        <f t="shared" si="76"/>
        <v>0</v>
      </c>
      <c r="BI229" s="407">
        <f t="shared" si="77"/>
        <v>0</v>
      </c>
      <c r="BJ229" s="408">
        <f t="shared" si="78"/>
        <v>0</v>
      </c>
      <c r="BK229" s="1451"/>
      <c r="BL229" s="1169">
        <f>IF(ISNUMBER(L22),L22,)</f>
        <v>0</v>
      </c>
      <c r="BM229" s="1116">
        <f>IF(AND($K$36&gt;0,ISNUMBER($K22)),$L$36*$K22/$K$35,)</f>
        <v>0</v>
      </c>
      <c r="BN229" s="1128">
        <f t="shared" ref="BN229" si="87">BL229+BM229</f>
        <v>0</v>
      </c>
      <c r="BO229" s="1139">
        <f>IF(ISNUMBER(L22),1-BQ229-BT229,)</f>
        <v>0</v>
      </c>
      <c r="BP229" s="1130">
        <f t="shared" ref="BP229" si="88">BN229*BO229</f>
        <v>0</v>
      </c>
      <c r="BQ229" s="1139">
        <f>IF(P22&gt;0,G22*(24*0.1)/24/365,)</f>
        <v>0</v>
      </c>
      <c r="BR229" s="1130">
        <f t="shared" ref="BR229" si="89">BN229*BQ229</f>
        <v>0</v>
      </c>
      <c r="BS229" s="1119">
        <f>IF($BR$241&gt;0,-$BS$242/$BR$241*BR229,)</f>
        <v>0</v>
      </c>
      <c r="BT229" s="1132">
        <f>IF(ISNUMBER(L22),H22*I22/24/365,)</f>
        <v>0</v>
      </c>
      <c r="BU229" s="1130">
        <f>IF(L22=0,0,BN229*BT229)</f>
        <v>0</v>
      </c>
      <c r="BV229" s="1187">
        <f>IF(Q22=0,0,BU229)</f>
        <v>0</v>
      </c>
      <c r="BW229" s="1116">
        <f>IF(AND(ISNUMBER(Q22),Q22&lt;&gt;0,$BW$242&gt;0),-$BW$242/$BV$241*BV229,)</f>
        <v>0</v>
      </c>
      <c r="BX229" s="1160">
        <f t="shared" ref="BX229" si="90">BU229+BW229</f>
        <v>0</v>
      </c>
      <c r="BY229" s="1143">
        <f t="shared" ref="BY229" si="91">BN229+BS229+BW229</f>
        <v>0</v>
      </c>
      <c r="BZ229" s="1147">
        <f>BP229*J22/100</f>
        <v>0</v>
      </c>
      <c r="CA229" s="1119">
        <f t="shared" ref="CA229" si="92">BY229-BZ229</f>
        <v>0</v>
      </c>
      <c r="CB229" s="1116" t="e">
        <f>$CB$242/$BY$241*BY229</f>
        <v>#DIV/0!</v>
      </c>
      <c r="CC229" s="1116" t="e">
        <f>IF(($BY$241-$BX$241)&gt;0,$CC$242/($BY$241-$BX$241)*(BY229-BX229),$CC$242/$BY$241*BY229)</f>
        <v>#DIV/0!</v>
      </c>
      <c r="CD229" s="1116">
        <f>IF(BZ229&gt;0,$CD$242/$BZ$241*BZ229,)</f>
        <v>0</v>
      </c>
      <c r="CE229" s="1151" t="e">
        <f t="shared" ref="CE229" si="93">BY229-SUM(CB229:CD229)</f>
        <v>#DIV/0!</v>
      </c>
      <c r="CF229" s="1164" t="e">
        <f t="shared" ref="CF229" si="94">IF(BW229=0,IF((0.6-0.12)*ABS(BX229)&gt;ABS(CE229),CE229,(0.6-0.12)*BX229),IF(0.6*ABS(BX229)&gt;ABS(CE229),CE229,0.6*BX229))</f>
        <v>#DIV/0!</v>
      </c>
      <c r="CG229" s="1155" t="e">
        <f t="shared" ref="CG229" si="95">CE229-CF229</f>
        <v>#DIV/0!</v>
      </c>
      <c r="CH229" s="1458" t="s">
        <v>1430</v>
      </c>
    </row>
    <row r="230" spans="1:86" ht="12" hidden="1" customHeight="1">
      <c r="A230" s="2897" t="s">
        <v>1810</v>
      </c>
      <c r="B230" s="2867"/>
      <c r="C230" s="2868"/>
      <c r="D230" s="2869"/>
      <c r="E230" s="2916"/>
      <c r="F230" s="2917"/>
      <c r="G230" s="2917"/>
      <c r="H230" s="2917"/>
      <c r="I230" s="2872"/>
      <c r="J230" s="2873"/>
      <c r="K230" s="2874"/>
      <c r="L230" s="2875"/>
      <c r="M230" s="2875"/>
      <c r="N230" s="2875"/>
      <c r="O230" s="2875"/>
      <c r="P230" s="2901"/>
      <c r="Q230" s="2877"/>
      <c r="R230" s="2878"/>
      <c r="S230" s="2878"/>
      <c r="T230" s="2878"/>
      <c r="U230" s="2878"/>
      <c r="V230" s="2878"/>
      <c r="W230" s="2878"/>
      <c r="X230" s="2878"/>
      <c r="Y230" s="2878"/>
      <c r="Z230" s="2878"/>
      <c r="AA230" s="2879"/>
      <c r="AB230" s="2880"/>
      <c r="AC230" s="2880"/>
      <c r="AD230" s="2880"/>
      <c r="AE230" s="2880"/>
      <c r="AF230" s="2881"/>
      <c r="AG230" s="2879"/>
      <c r="AH230" s="2880"/>
      <c r="AI230" s="2880"/>
      <c r="AJ230" s="2880"/>
      <c r="AK230" s="2880"/>
      <c r="AL230" s="2881"/>
      <c r="AM230" s="2879"/>
      <c r="AN230" s="2880"/>
      <c r="AO230" s="2880"/>
      <c r="AP230" s="2880"/>
      <c r="AQ230" s="2880"/>
      <c r="AR230" s="2881"/>
      <c r="AS230" s="2879"/>
      <c r="AT230" s="2880"/>
      <c r="AU230" s="2880"/>
      <c r="AV230" s="2880"/>
      <c r="AW230" s="2880"/>
      <c r="AX230" s="2881"/>
      <c r="AY230" s="2879"/>
      <c r="AZ230" s="2880"/>
      <c r="BA230" s="2880"/>
      <c r="BB230" s="2880"/>
      <c r="BC230" s="2880"/>
      <c r="BD230" s="2881"/>
      <c r="BE230" s="2879"/>
      <c r="BF230" s="2880"/>
      <c r="BG230" s="2880"/>
      <c r="BH230" s="2880"/>
      <c r="BI230" s="2880"/>
      <c r="BJ230" s="2881"/>
      <c r="BK230" s="2882"/>
      <c r="BL230" s="2883"/>
      <c r="BM230" s="2884"/>
      <c r="BN230" s="2902"/>
      <c r="BO230" s="2886"/>
      <c r="BP230" s="2887"/>
      <c r="BQ230" s="2886"/>
      <c r="BR230" s="2887"/>
      <c r="BS230" s="2903"/>
      <c r="BT230" s="2889"/>
      <c r="BU230" s="2887"/>
      <c r="BV230" s="2890"/>
      <c r="BW230" s="2884"/>
      <c r="BX230" s="2891"/>
      <c r="BY230" s="2892"/>
      <c r="BZ230" s="2893"/>
      <c r="CA230" s="2903"/>
      <c r="CB230" s="2884"/>
      <c r="CC230" s="2884"/>
      <c r="CD230" s="2884"/>
      <c r="CE230" s="2894"/>
      <c r="CF230" s="2895"/>
      <c r="CG230" s="2904"/>
      <c r="CH230" s="2884" t="s">
        <v>1430</v>
      </c>
    </row>
    <row r="231" spans="1:86" ht="12" hidden="1" customHeight="1">
      <c r="A231" s="922" t="str">
        <f t="shared" ref="A231" si="96">A25</f>
        <v>mis_500</v>
      </c>
      <c r="B231" s="2905" t="str">
        <f>B25</f>
        <v>Milchschafe</v>
      </c>
      <c r="C231" s="2906" t="s">
        <v>1952</v>
      </c>
      <c r="D231" s="2907">
        <f>E25</f>
        <v>0</v>
      </c>
      <c r="E231" s="2256">
        <f>IF(ISNUMBER(F25),F25,)</f>
        <v>0</v>
      </c>
      <c r="F231" s="470">
        <f>H25</f>
        <v>0</v>
      </c>
      <c r="G231" s="470">
        <f>I25</f>
        <v>0</v>
      </c>
      <c r="H231" s="470">
        <f>IF(LEFT(A231,2)="ie",N231/35,(E231-E231*F231*G231/24/365)*(VLOOKUP($A231,Daten!$E$289:$M$391,9,FALSE)))</f>
        <v>0</v>
      </c>
      <c r="I231" s="1363"/>
      <c r="J231" s="1364"/>
      <c r="K231" s="1365"/>
      <c r="L231" s="2254">
        <f>IF(ISNUMBER(L25),BP231+BR231+BS231,)</f>
        <v>0</v>
      </c>
      <c r="M231" s="2254">
        <f>IF(ISNUMBER(L25),CG231,)</f>
        <v>0</v>
      </c>
      <c r="N231" s="2254">
        <f>IF(ISNUMBER(M25),(M25-IF($K$35=0,0,$K$36/$K$35*K25*0.1))*(1-$F231*$G231/24/365),)</f>
        <v>0</v>
      </c>
      <c r="O231" s="2254">
        <f>IF(ISNUMBER(N25),N25*(1-$F231*$G231/24/365),)</f>
        <v>0</v>
      </c>
      <c r="P231" s="2255">
        <f>IF(ISNUMBER(O25),O25*(1-$F231*$G231/24/365),)</f>
        <v>0</v>
      </c>
      <c r="Q231" s="301">
        <f t="shared" ref="Q231" si="97">IF(AND(E231&gt;0,I231=0),"Aufstallungscode fehlt",IF(AND(E231&gt;0,SUM(J231:K231)&lt;1),"Grube / Stock fehlt",IF(COUNTIF(J231:K231,"&gt;3")&gt;0,"Nr-Grube/Stock falsch",IF(A231="gfzs","Code+Nr.wie Tiere die dieses GF fressen",))))</f>
        <v>0</v>
      </c>
      <c r="R231" s="110"/>
      <c r="S231" s="110"/>
      <c r="T231" s="110"/>
      <c r="U231" s="110"/>
      <c r="V231" s="110"/>
      <c r="W231" s="110"/>
      <c r="AA231" s="406">
        <f t="shared" si="43"/>
        <v>0</v>
      </c>
      <c r="AB231" s="407">
        <f t="shared" si="44"/>
        <v>0</v>
      </c>
      <c r="AC231" s="407">
        <f t="shared" si="45"/>
        <v>0</v>
      </c>
      <c r="AD231" s="407">
        <f t="shared" si="46"/>
        <v>0</v>
      </c>
      <c r="AE231" s="407">
        <f t="shared" si="47"/>
        <v>0</v>
      </c>
      <c r="AF231" s="408">
        <f t="shared" si="48"/>
        <v>0</v>
      </c>
      <c r="AG231" s="406">
        <f t="shared" si="49"/>
        <v>0</v>
      </c>
      <c r="AH231" s="407">
        <f t="shared" si="50"/>
        <v>0</v>
      </c>
      <c r="AI231" s="407">
        <f t="shared" si="51"/>
        <v>0</v>
      </c>
      <c r="AJ231" s="407">
        <f t="shared" si="52"/>
        <v>0</v>
      </c>
      <c r="AK231" s="407">
        <f t="shared" si="53"/>
        <v>0</v>
      </c>
      <c r="AL231" s="408">
        <f t="shared" si="54"/>
        <v>0</v>
      </c>
      <c r="AM231" s="406">
        <f t="shared" si="55"/>
        <v>0</v>
      </c>
      <c r="AN231" s="407">
        <f t="shared" si="56"/>
        <v>0</v>
      </c>
      <c r="AO231" s="407">
        <f t="shared" si="57"/>
        <v>0</v>
      </c>
      <c r="AP231" s="407">
        <f t="shared" si="58"/>
        <v>0</v>
      </c>
      <c r="AQ231" s="407">
        <f t="shared" si="59"/>
        <v>0</v>
      </c>
      <c r="AR231" s="408">
        <f t="shared" si="60"/>
        <v>0</v>
      </c>
      <c r="AS231" s="406">
        <f t="shared" si="61"/>
        <v>0</v>
      </c>
      <c r="AT231" s="407">
        <f t="shared" si="62"/>
        <v>0</v>
      </c>
      <c r="AU231" s="407">
        <f t="shared" si="63"/>
        <v>0</v>
      </c>
      <c r="AV231" s="407">
        <f t="shared" si="64"/>
        <v>0</v>
      </c>
      <c r="AW231" s="407">
        <f t="shared" si="65"/>
        <v>0</v>
      </c>
      <c r="AX231" s="408">
        <f t="shared" si="66"/>
        <v>0</v>
      </c>
      <c r="AY231" s="406">
        <f t="shared" si="67"/>
        <v>0</v>
      </c>
      <c r="AZ231" s="407">
        <f t="shared" si="68"/>
        <v>0</v>
      </c>
      <c r="BA231" s="407">
        <f t="shared" si="69"/>
        <v>0</v>
      </c>
      <c r="BB231" s="407">
        <f t="shared" si="70"/>
        <v>0</v>
      </c>
      <c r="BC231" s="407">
        <f t="shared" si="71"/>
        <v>0</v>
      </c>
      <c r="BD231" s="408">
        <f t="shared" si="72"/>
        <v>0</v>
      </c>
      <c r="BE231" s="406">
        <f t="shared" si="73"/>
        <v>0</v>
      </c>
      <c r="BF231" s="407">
        <f t="shared" si="74"/>
        <v>0</v>
      </c>
      <c r="BG231" s="407">
        <f t="shared" si="75"/>
        <v>0</v>
      </c>
      <c r="BH231" s="407">
        <f t="shared" si="76"/>
        <v>0</v>
      </c>
      <c r="BI231" s="407">
        <f t="shared" si="77"/>
        <v>0</v>
      </c>
      <c r="BJ231" s="408">
        <f t="shared" si="78"/>
        <v>0</v>
      </c>
      <c r="BK231" s="1451"/>
      <c r="BL231" s="1169">
        <f>IF(ISNUMBER(L25),L25,)</f>
        <v>0</v>
      </c>
      <c r="BM231" s="1116">
        <f>IF(AND($K$36&gt;0,ISNUMBER($K25)),$L$36*$K25/$K$35,)</f>
        <v>0</v>
      </c>
      <c r="BN231" s="1128">
        <f t="shared" ref="BN231" si="98">BL231+BM231</f>
        <v>0</v>
      </c>
      <c r="BO231" s="1139">
        <f>IF(ISNUMBER(L25),1-BQ231-BT231,)</f>
        <v>0</v>
      </c>
      <c r="BP231" s="1130">
        <f t="shared" ref="BP231" si="99">BN231*BO231</f>
        <v>0</v>
      </c>
      <c r="BQ231" s="1139">
        <f>IF(P25&gt;0,G25*(24*0.1)/24/365,)</f>
        <v>0</v>
      </c>
      <c r="BR231" s="1130">
        <f t="shared" ref="BR231" si="100">BN231*BQ231</f>
        <v>0</v>
      </c>
      <c r="BS231" s="1119">
        <f>IF($BR$241&gt;0,-$BS$242/$BR$241*BR231,)</f>
        <v>0</v>
      </c>
      <c r="BT231" s="1132">
        <f>IF(ISNUMBER(L25),H25*I25/24/365,)</f>
        <v>0</v>
      </c>
      <c r="BU231" s="1130">
        <f>IF(L25=0,0,BN231*BT231)</f>
        <v>0</v>
      </c>
      <c r="BV231" s="1187">
        <f>IF(Q25=0,0,BU231)</f>
        <v>0</v>
      </c>
      <c r="BW231" s="1116">
        <f>IF(AND(ISNUMBER(Q25),Q25&lt;&gt;0,$BW$242&gt;0),-$BW$242/$BV$241*BV231,)</f>
        <v>0</v>
      </c>
      <c r="BX231" s="1160">
        <f t="shared" ref="BX231" si="101">BU231+BW231</f>
        <v>0</v>
      </c>
      <c r="BY231" s="1143">
        <f t="shared" ref="BY231" si="102">BN231+BS231+BW231</f>
        <v>0</v>
      </c>
      <c r="BZ231" s="1147">
        <f>BP231*J25/100</f>
        <v>0</v>
      </c>
      <c r="CA231" s="1119">
        <f t="shared" ref="CA231" si="103">BY231-BZ231</f>
        <v>0</v>
      </c>
      <c r="CB231" s="1116" t="e">
        <f>$CB$242/$BY$241*BY231</f>
        <v>#DIV/0!</v>
      </c>
      <c r="CC231" s="1116" t="e">
        <f>IF(($BY$241-$BX$241)&gt;0,$CC$242/($BY$241-$BX$241)*(BY231-BX231),$CC$242/$BY$241*BY231)</f>
        <v>#DIV/0!</v>
      </c>
      <c r="CD231" s="1116">
        <f>IF(BZ231&gt;0,$CD$242/$BZ$241*BZ231,)</f>
        <v>0</v>
      </c>
      <c r="CE231" s="1151" t="e">
        <f t="shared" ref="CE231" si="104">BY231-SUM(CB231:CD231)</f>
        <v>#DIV/0!</v>
      </c>
      <c r="CF231" s="1164" t="e">
        <f t="shared" ref="CF231" si="105">IF(BW231=0,IF((0.6-0.12)*ABS(BX231)&gt;ABS(CE231),CE231,(0.6-0.12)*BX231),IF(0.6*ABS(BX231)&gt;ABS(CE231),CE231,0.6*BX231))</f>
        <v>#DIV/0!</v>
      </c>
      <c r="CG231" s="1155" t="e">
        <f t="shared" ref="CG231" si="106">CE231-CF231</f>
        <v>#DIV/0!</v>
      </c>
      <c r="CH231" s="1458" t="s">
        <v>1430</v>
      </c>
    </row>
    <row r="232" spans="1:86" ht="12" hidden="1" customHeight="1">
      <c r="A232" s="2897" t="s">
        <v>1810</v>
      </c>
      <c r="B232" s="2898"/>
      <c r="C232" s="2899"/>
      <c r="D232" s="2900"/>
      <c r="E232" s="2870"/>
      <c r="F232" s="2871"/>
      <c r="G232" s="2871"/>
      <c r="H232" s="2871"/>
      <c r="I232" s="2908"/>
      <c r="J232" s="2909"/>
      <c r="K232" s="2910"/>
      <c r="L232" s="2875"/>
      <c r="M232" s="2875"/>
      <c r="N232" s="2875"/>
      <c r="O232" s="2875"/>
      <c r="P232" s="2901"/>
      <c r="Q232" s="2877"/>
      <c r="R232" s="2878"/>
      <c r="S232" s="2878"/>
      <c r="T232" s="2878"/>
      <c r="U232" s="2878"/>
      <c r="V232" s="2878"/>
      <c r="W232" s="2878"/>
      <c r="X232" s="2878"/>
      <c r="Y232" s="2878"/>
      <c r="Z232" s="2878"/>
      <c r="AA232" s="2879"/>
      <c r="AB232" s="2880"/>
      <c r="AC232" s="2880"/>
      <c r="AD232" s="2880"/>
      <c r="AE232" s="2880"/>
      <c r="AF232" s="2881"/>
      <c r="AG232" s="2879"/>
      <c r="AH232" s="2880"/>
      <c r="AI232" s="2880"/>
      <c r="AJ232" s="2880"/>
      <c r="AK232" s="2880"/>
      <c r="AL232" s="2881"/>
      <c r="AM232" s="2879"/>
      <c r="AN232" s="2880"/>
      <c r="AO232" s="2880"/>
      <c r="AP232" s="2880"/>
      <c r="AQ232" s="2880"/>
      <c r="AR232" s="2881"/>
      <c r="AS232" s="2879"/>
      <c r="AT232" s="2880"/>
      <c r="AU232" s="2880"/>
      <c r="AV232" s="2880"/>
      <c r="AW232" s="2880"/>
      <c r="AX232" s="2881"/>
      <c r="AY232" s="2879"/>
      <c r="AZ232" s="2880"/>
      <c r="BA232" s="2880"/>
      <c r="BB232" s="2880"/>
      <c r="BC232" s="2880"/>
      <c r="BD232" s="2881"/>
      <c r="BE232" s="2879"/>
      <c r="BF232" s="2880"/>
      <c r="BG232" s="2880"/>
      <c r="BH232" s="2880"/>
      <c r="BI232" s="2880"/>
      <c r="BJ232" s="2881"/>
      <c r="BK232" s="2882"/>
      <c r="BL232" s="2883"/>
      <c r="BM232" s="2884"/>
      <c r="BN232" s="2902"/>
      <c r="BO232" s="2886"/>
      <c r="BP232" s="2887"/>
      <c r="BQ232" s="2886"/>
      <c r="BR232" s="2887"/>
      <c r="BS232" s="2903"/>
      <c r="BT232" s="2889"/>
      <c r="BU232" s="2887"/>
      <c r="BV232" s="2890"/>
      <c r="BW232" s="2884"/>
      <c r="BX232" s="2891"/>
      <c r="BY232" s="2892"/>
      <c r="BZ232" s="2893"/>
      <c r="CA232" s="2903"/>
      <c r="CB232" s="2884"/>
      <c r="CC232" s="2884"/>
      <c r="CD232" s="2884"/>
      <c r="CE232" s="2894"/>
      <c r="CF232" s="2895"/>
      <c r="CG232" s="2904"/>
      <c r="CH232" s="2884" t="s">
        <v>1430</v>
      </c>
    </row>
    <row r="233" spans="1:86" ht="12" hidden="1" customHeight="1">
      <c r="A233" s="2897" t="s">
        <v>1810</v>
      </c>
      <c r="B233" s="2898"/>
      <c r="C233" s="2899"/>
      <c r="D233" s="2900"/>
      <c r="E233" s="2870"/>
      <c r="F233" s="2871"/>
      <c r="G233" s="2871"/>
      <c r="H233" s="2871"/>
      <c r="I233" s="2911"/>
      <c r="J233" s="2912"/>
      <c r="K233" s="2913"/>
      <c r="L233" s="2875"/>
      <c r="M233" s="2875"/>
      <c r="N233" s="2875"/>
      <c r="O233" s="2875"/>
      <c r="P233" s="2901"/>
      <c r="Q233" s="2877"/>
      <c r="R233" s="2878"/>
      <c r="S233" s="2878"/>
      <c r="T233" s="2878"/>
      <c r="U233" s="2878"/>
      <c r="V233" s="2878"/>
      <c r="W233" s="2878"/>
      <c r="X233" s="2878"/>
      <c r="Y233" s="2878"/>
      <c r="Z233" s="2878"/>
      <c r="AA233" s="2879"/>
      <c r="AB233" s="2880"/>
      <c r="AC233" s="2880"/>
      <c r="AD233" s="2880"/>
      <c r="AE233" s="2880"/>
      <c r="AF233" s="2881"/>
      <c r="AG233" s="2879"/>
      <c r="AH233" s="2880"/>
      <c r="AI233" s="2880"/>
      <c r="AJ233" s="2880"/>
      <c r="AK233" s="2880"/>
      <c r="AL233" s="2881"/>
      <c r="AM233" s="2879"/>
      <c r="AN233" s="2880"/>
      <c r="AO233" s="2880"/>
      <c r="AP233" s="2880"/>
      <c r="AQ233" s="2880"/>
      <c r="AR233" s="2881"/>
      <c r="AS233" s="2879"/>
      <c r="AT233" s="2880"/>
      <c r="AU233" s="2880"/>
      <c r="AV233" s="2880"/>
      <c r="AW233" s="2880"/>
      <c r="AX233" s="2881"/>
      <c r="AY233" s="2879"/>
      <c r="AZ233" s="2880"/>
      <c r="BA233" s="2880"/>
      <c r="BB233" s="2880"/>
      <c r="BC233" s="2880"/>
      <c r="BD233" s="2881"/>
      <c r="BE233" s="2879"/>
      <c r="BF233" s="2880"/>
      <c r="BG233" s="2880"/>
      <c r="BH233" s="2880"/>
      <c r="BI233" s="2880"/>
      <c r="BJ233" s="2881"/>
      <c r="BK233" s="2882"/>
      <c r="BL233" s="2883"/>
      <c r="BM233" s="2884"/>
      <c r="BN233" s="2902"/>
      <c r="BO233" s="2886"/>
      <c r="BP233" s="2887"/>
      <c r="BQ233" s="2886"/>
      <c r="BR233" s="2887"/>
      <c r="BS233" s="2903"/>
      <c r="BT233" s="2889"/>
      <c r="BU233" s="2887"/>
      <c r="BV233" s="2890"/>
      <c r="BW233" s="2884"/>
      <c r="BX233" s="2891"/>
      <c r="BY233" s="2892"/>
      <c r="BZ233" s="2893"/>
      <c r="CA233" s="2903"/>
      <c r="CB233" s="2884"/>
      <c r="CC233" s="2884"/>
      <c r="CD233" s="2884"/>
      <c r="CE233" s="2894"/>
      <c r="CF233" s="2895"/>
      <c r="CG233" s="2904"/>
      <c r="CH233" s="2884" t="s">
        <v>1430</v>
      </c>
    </row>
    <row r="234" spans="1:86" ht="12" hidden="1" customHeight="1">
      <c r="A234" s="2897" t="s">
        <v>1810</v>
      </c>
      <c r="B234" s="2867"/>
      <c r="C234" s="2868"/>
      <c r="D234" s="2869"/>
      <c r="E234" s="2870"/>
      <c r="F234" s="2871"/>
      <c r="G234" s="2871"/>
      <c r="H234" s="2871"/>
      <c r="I234" s="2872"/>
      <c r="J234" s="2873"/>
      <c r="K234" s="2874"/>
      <c r="L234" s="2875"/>
      <c r="M234" s="2875"/>
      <c r="N234" s="2875"/>
      <c r="O234" s="2875"/>
      <c r="P234" s="2901"/>
      <c r="Q234" s="2877"/>
      <c r="R234" s="2878"/>
      <c r="S234" s="2878"/>
      <c r="T234" s="2878"/>
      <c r="U234" s="2878"/>
      <c r="V234" s="2878"/>
      <c r="W234" s="2878"/>
      <c r="X234" s="2878"/>
      <c r="Y234" s="2878"/>
      <c r="Z234" s="2878"/>
      <c r="AA234" s="2879"/>
      <c r="AB234" s="2880"/>
      <c r="AC234" s="2880"/>
      <c r="AD234" s="2880"/>
      <c r="AE234" s="2880"/>
      <c r="AF234" s="2881"/>
      <c r="AG234" s="2879"/>
      <c r="AH234" s="2880"/>
      <c r="AI234" s="2880"/>
      <c r="AJ234" s="2880"/>
      <c r="AK234" s="2880"/>
      <c r="AL234" s="2881"/>
      <c r="AM234" s="2879"/>
      <c r="AN234" s="2880"/>
      <c r="AO234" s="2880"/>
      <c r="AP234" s="2880"/>
      <c r="AQ234" s="2880"/>
      <c r="AR234" s="2881"/>
      <c r="AS234" s="2879"/>
      <c r="AT234" s="2880"/>
      <c r="AU234" s="2880"/>
      <c r="AV234" s="2880"/>
      <c r="AW234" s="2880"/>
      <c r="AX234" s="2881"/>
      <c r="AY234" s="2879"/>
      <c r="AZ234" s="2880"/>
      <c r="BA234" s="2880"/>
      <c r="BB234" s="2880"/>
      <c r="BC234" s="2880"/>
      <c r="BD234" s="2881"/>
      <c r="BE234" s="2879"/>
      <c r="BF234" s="2880"/>
      <c r="BG234" s="2880"/>
      <c r="BH234" s="2880"/>
      <c r="BI234" s="2880"/>
      <c r="BJ234" s="2881"/>
      <c r="BK234" s="2882"/>
      <c r="BL234" s="2883"/>
      <c r="BM234" s="2884"/>
      <c r="BN234" s="2902"/>
      <c r="BO234" s="2886"/>
      <c r="BP234" s="2887"/>
      <c r="BQ234" s="2886"/>
      <c r="BR234" s="2887"/>
      <c r="BS234" s="2903"/>
      <c r="BT234" s="2889"/>
      <c r="BU234" s="2887"/>
      <c r="BV234" s="2890"/>
      <c r="BW234" s="2884"/>
      <c r="BX234" s="2891"/>
      <c r="BY234" s="2892"/>
      <c r="BZ234" s="2893"/>
      <c r="CA234" s="2903"/>
      <c r="CB234" s="2884"/>
      <c r="CC234" s="2884"/>
      <c r="CD234" s="2884"/>
      <c r="CE234" s="2894"/>
      <c r="CF234" s="2895"/>
      <c r="CG234" s="2904"/>
      <c r="CH234" s="2884" t="s">
        <v>1430</v>
      </c>
    </row>
    <row r="235" spans="1:86" ht="12" customHeight="1">
      <c r="A235" s="922">
        <f t="shared" ref="A235:B240" si="107">A29</f>
        <v>0</v>
      </c>
      <c r="B235" s="472" t="str">
        <f t="shared" si="107"/>
        <v>RV-Mast  &gt;160 d (Pl.)</v>
      </c>
      <c r="C235" s="320"/>
      <c r="D235" s="320"/>
      <c r="E235" s="2256">
        <f t="shared" ref="E235:E240" si="108">IF(ISNUMBER(F29),F29,)</f>
        <v>0</v>
      </c>
      <c r="F235" s="470">
        <f t="shared" ref="F235:G240" si="109">H29</f>
        <v>0</v>
      </c>
      <c r="G235" s="470">
        <f t="shared" si="109"/>
        <v>0</v>
      </c>
      <c r="H235" s="470">
        <f>N235/13.4*0.46</f>
        <v>0</v>
      </c>
      <c r="I235" s="1363"/>
      <c r="J235" s="1364"/>
      <c r="K235" s="1365"/>
      <c r="L235" s="2254">
        <f t="shared" ref="L235:L240" si="110">IF(ISNUMBER(L29),BP235+BR235+BS235,)</f>
        <v>0</v>
      </c>
      <c r="M235" s="2254">
        <f t="shared" ref="M235:M240" si="111">IF(ISNUMBER(L29),CG235,)</f>
        <v>0</v>
      </c>
      <c r="N235" s="2254">
        <f t="shared" ref="N235:N240" si="112">IF(ISNUMBER(M29),(M29-IF($K$35=0,0,$K$36/$K$35*K29*0.1))*(1-$F235*$G235/24/365),)</f>
        <v>0</v>
      </c>
      <c r="O235" s="2254">
        <f t="shared" ref="O235:P240" si="113">IF(ISNUMBER(N29),N29*(1-$F235*$G235/24/365),)</f>
        <v>0</v>
      </c>
      <c r="P235" s="2255">
        <f t="shared" si="113"/>
        <v>0</v>
      </c>
      <c r="Q235" s="301">
        <f t="shared" ref="Q235:Q240" si="114">IF(AND(E235&gt;0,I235=0),"Aufstallungscode fehlt",IF(AND(E235&gt;0,SUM(J235:K235)&lt;1),"Grube / Stock fehlt",IF(COUNTIF(J235:K235,"&gt;3")&gt;0,"Nr-Grube/Stock falsch",IF(A235="gfzs","Code+Nr.wie Tiere die dieses GF fressen",))))</f>
        <v>0</v>
      </c>
      <c r="R235" s="110"/>
      <c r="S235" s="110"/>
      <c r="T235" s="110"/>
      <c r="U235" s="110"/>
      <c r="V235" s="110"/>
      <c r="W235" s="110"/>
      <c r="AA235" s="406">
        <f t="shared" si="43"/>
        <v>0</v>
      </c>
      <c r="AB235" s="407">
        <f t="shared" si="44"/>
        <v>0</v>
      </c>
      <c r="AC235" s="407">
        <f t="shared" si="45"/>
        <v>0</v>
      </c>
      <c r="AD235" s="407">
        <f t="shared" si="46"/>
        <v>0</v>
      </c>
      <c r="AE235" s="407">
        <f t="shared" si="47"/>
        <v>0</v>
      </c>
      <c r="AF235" s="408">
        <f t="shared" si="48"/>
        <v>0</v>
      </c>
      <c r="AG235" s="406">
        <f t="shared" si="49"/>
        <v>0</v>
      </c>
      <c r="AH235" s="407">
        <f t="shared" si="50"/>
        <v>0</v>
      </c>
      <c r="AI235" s="407">
        <f t="shared" si="51"/>
        <v>0</v>
      </c>
      <c r="AJ235" s="407">
        <f t="shared" si="52"/>
        <v>0</v>
      </c>
      <c r="AK235" s="407">
        <f t="shared" si="53"/>
        <v>0</v>
      </c>
      <c r="AL235" s="408">
        <f t="shared" si="54"/>
        <v>0</v>
      </c>
      <c r="AM235" s="406">
        <f t="shared" si="55"/>
        <v>0</v>
      </c>
      <c r="AN235" s="407">
        <f t="shared" si="56"/>
        <v>0</v>
      </c>
      <c r="AO235" s="407">
        <f t="shared" si="57"/>
        <v>0</v>
      </c>
      <c r="AP235" s="407">
        <f t="shared" si="58"/>
        <v>0</v>
      </c>
      <c r="AQ235" s="407">
        <f t="shared" si="59"/>
        <v>0</v>
      </c>
      <c r="AR235" s="408">
        <f t="shared" si="60"/>
        <v>0</v>
      </c>
      <c r="AS235" s="406">
        <f t="shared" si="61"/>
        <v>0</v>
      </c>
      <c r="AT235" s="407">
        <f t="shared" si="62"/>
        <v>0</v>
      </c>
      <c r="AU235" s="407">
        <f t="shared" si="63"/>
        <v>0</v>
      </c>
      <c r="AV235" s="407">
        <f t="shared" si="64"/>
        <v>0</v>
      </c>
      <c r="AW235" s="407">
        <f t="shared" si="65"/>
        <v>0</v>
      </c>
      <c r="AX235" s="408">
        <f t="shared" si="66"/>
        <v>0</v>
      </c>
      <c r="AY235" s="406">
        <f t="shared" si="67"/>
        <v>0</v>
      </c>
      <c r="AZ235" s="407">
        <f t="shared" si="68"/>
        <v>0</v>
      </c>
      <c r="BA235" s="407">
        <f t="shared" si="69"/>
        <v>0</v>
      </c>
      <c r="BB235" s="407">
        <f t="shared" si="70"/>
        <v>0</v>
      </c>
      <c r="BC235" s="407">
        <f t="shared" si="71"/>
        <v>0</v>
      </c>
      <c r="BD235" s="408">
        <f t="shared" si="72"/>
        <v>0</v>
      </c>
      <c r="BE235" s="406">
        <f t="shared" si="73"/>
        <v>0</v>
      </c>
      <c r="BF235" s="407">
        <f t="shared" si="74"/>
        <v>0</v>
      </c>
      <c r="BG235" s="407">
        <f t="shared" si="75"/>
        <v>0</v>
      </c>
      <c r="BH235" s="407">
        <f t="shared" si="76"/>
        <v>0</v>
      </c>
      <c r="BI235" s="407">
        <f t="shared" si="77"/>
        <v>0</v>
      </c>
      <c r="BJ235" s="408">
        <f t="shared" si="78"/>
        <v>0</v>
      </c>
      <c r="BK235" s="1451"/>
      <c r="BL235" s="1169">
        <f t="shared" ref="BL235:BL240" si="115">IF(ISNUMBER(L29),L29,)</f>
        <v>0</v>
      </c>
      <c r="BM235" s="1116">
        <f t="shared" ref="BM235:BM240" si="116">IF(AND($K$36&gt;0,ISNUMBER($K29)),$L$36*$K29/$K$35,)</f>
        <v>0</v>
      </c>
      <c r="BN235" s="1128">
        <f t="shared" si="79"/>
        <v>0</v>
      </c>
      <c r="BO235" s="1139">
        <f t="shared" ref="BO235:BO240" si="117">IF(ISNUMBER(L29),1-BQ235-BT235,)</f>
        <v>0</v>
      </c>
      <c r="BP235" s="1130">
        <f t="shared" si="80"/>
        <v>0</v>
      </c>
      <c r="BQ235" s="1139">
        <f t="shared" ref="BQ235:BQ240" si="118">IF(P29&gt;0,G29*(24*0.1)/24/365,)</f>
        <v>0</v>
      </c>
      <c r="BR235" s="1130">
        <f t="shared" si="81"/>
        <v>0</v>
      </c>
      <c r="BS235" s="1119">
        <f t="shared" ref="BS235:BS240" si="119">IF($BR$241&gt;0,-$BS$242/$BR$241*BR235,)</f>
        <v>0</v>
      </c>
      <c r="BT235" s="1132">
        <f t="shared" ref="BT235:BT240" si="120">IF(ISNUMBER(L29),H29*I29/24/365,)</f>
        <v>0</v>
      </c>
      <c r="BU235" s="1130">
        <f t="shared" ref="BU235:BU240" si="121">IF(L29=0,0,BN235*BT235)</f>
        <v>0</v>
      </c>
      <c r="BV235" s="1187">
        <f t="shared" ref="BV235:BV240" si="122">IF(Q29=0,0,BU235)</f>
        <v>0</v>
      </c>
      <c r="BW235" s="1116">
        <f t="shared" ref="BW235:BW240" si="123">IF(AND(ISNUMBER(Q29),Q29&lt;&gt;0,$BW$242&gt;0),-$BW$242/$BV$241*BV235,)</f>
        <v>0</v>
      </c>
      <c r="BX235" s="1160">
        <f t="shared" si="82"/>
        <v>0</v>
      </c>
      <c r="BY235" s="1143">
        <f t="shared" si="83"/>
        <v>0</v>
      </c>
      <c r="BZ235" s="1147">
        <f t="shared" ref="BZ235:BZ240" si="124">BP235*J29/100</f>
        <v>0</v>
      </c>
      <c r="CA235" s="1119">
        <f t="shared" si="84"/>
        <v>0</v>
      </c>
      <c r="CB235" s="1116" t="e">
        <f t="shared" ref="CB235:CB240" si="125">$CB$242/$BY$241*BY235</f>
        <v>#DIV/0!</v>
      </c>
      <c r="CC235" s="1116" t="e">
        <f t="shared" ref="CC235:CC240" si="126">IF(($BY$241-$BX$241)&gt;0,$CC$242/($BY$241-$BX$241)*(BY235-BX235),$CC$242/$BY$241*BY235)</f>
        <v>#DIV/0!</v>
      </c>
      <c r="CD235" s="1116">
        <f t="shared" ref="CD235:CD240" si="127">IF(BZ235&gt;0,$CD$242/$BZ$241*BZ235,)</f>
        <v>0</v>
      </c>
      <c r="CE235" s="1151" t="e">
        <f t="shared" ref="CE235:CE240" si="128">BY235-SUM(CB235:CD235)</f>
        <v>#DIV/0!</v>
      </c>
      <c r="CF235" s="1164" t="e">
        <f t="shared" ref="CF235:CF240" si="129">IF(BW235=0,IF((0.6-0.12)*ABS(BX235)&gt;ABS(CE235),CE235,(0.6-0.12)*BX235),IF(0.6*ABS(BX235)&gt;ABS(CE235),CE235,0.6*BX235))</f>
        <v>#DIV/0!</v>
      </c>
      <c r="CG235" s="1155" t="e">
        <f t="shared" ref="CG235:CG240" si="130">CE235-CF235</f>
        <v>#DIV/0!</v>
      </c>
      <c r="CH235" s="1458" t="s">
        <v>1430</v>
      </c>
    </row>
    <row r="236" spans="1:86" ht="12" customHeight="1">
      <c r="A236" s="922">
        <f t="shared" si="107"/>
        <v>0</v>
      </c>
      <c r="B236" s="472" t="str">
        <f t="shared" si="107"/>
        <v xml:space="preserve"> -</v>
      </c>
      <c r="C236" s="320"/>
      <c r="D236" s="320"/>
      <c r="E236" s="2256">
        <f t="shared" si="108"/>
        <v>0</v>
      </c>
      <c r="F236" s="470">
        <f t="shared" si="109"/>
        <v>0</v>
      </c>
      <c r="G236" s="470">
        <f t="shared" si="109"/>
        <v>0</v>
      </c>
      <c r="H236" s="470">
        <f>IF(LEFT(A236,2)="ie",N236/35,(E236-E236*F236*G236/24/365)*(VLOOKUP($A236,Daten!$E$289:$M$391,9,FALSE)))</f>
        <v>0</v>
      </c>
      <c r="I236" s="1363"/>
      <c r="J236" s="1364"/>
      <c r="K236" s="1365"/>
      <c r="L236" s="2254">
        <f t="shared" si="110"/>
        <v>0</v>
      </c>
      <c r="M236" s="2254">
        <f t="shared" si="111"/>
        <v>0</v>
      </c>
      <c r="N236" s="2254">
        <f t="shared" si="112"/>
        <v>0</v>
      </c>
      <c r="O236" s="2254">
        <f t="shared" si="113"/>
        <v>0</v>
      </c>
      <c r="P236" s="2255">
        <f t="shared" si="113"/>
        <v>0</v>
      </c>
      <c r="Q236" s="301">
        <f t="shared" si="114"/>
        <v>0</v>
      </c>
      <c r="R236" s="110"/>
      <c r="S236" s="110"/>
      <c r="T236" s="110"/>
      <c r="U236" s="110"/>
      <c r="V236" s="110"/>
      <c r="W236" s="110"/>
      <c r="AA236" s="406">
        <f t="shared" si="43"/>
        <v>0</v>
      </c>
      <c r="AB236" s="407">
        <f t="shared" si="44"/>
        <v>0</v>
      </c>
      <c r="AC236" s="407">
        <f t="shared" si="45"/>
        <v>0</v>
      </c>
      <c r="AD236" s="407">
        <f t="shared" si="46"/>
        <v>0</v>
      </c>
      <c r="AE236" s="407">
        <f t="shared" si="47"/>
        <v>0</v>
      </c>
      <c r="AF236" s="408">
        <f t="shared" si="48"/>
        <v>0</v>
      </c>
      <c r="AG236" s="406">
        <f t="shared" si="49"/>
        <v>0</v>
      </c>
      <c r="AH236" s="407">
        <f t="shared" si="50"/>
        <v>0</v>
      </c>
      <c r="AI236" s="407">
        <f t="shared" si="51"/>
        <v>0</v>
      </c>
      <c r="AJ236" s="407">
        <f t="shared" si="52"/>
        <v>0</v>
      </c>
      <c r="AK236" s="407">
        <f t="shared" si="53"/>
        <v>0</v>
      </c>
      <c r="AL236" s="408">
        <f t="shared" si="54"/>
        <v>0</v>
      </c>
      <c r="AM236" s="406">
        <f t="shared" si="55"/>
        <v>0</v>
      </c>
      <c r="AN236" s="407">
        <f t="shared" si="56"/>
        <v>0</v>
      </c>
      <c r="AO236" s="407">
        <f t="shared" si="57"/>
        <v>0</v>
      </c>
      <c r="AP236" s="407">
        <f t="shared" si="58"/>
        <v>0</v>
      </c>
      <c r="AQ236" s="407">
        <f t="shared" si="59"/>
        <v>0</v>
      </c>
      <c r="AR236" s="408">
        <f t="shared" si="60"/>
        <v>0</v>
      </c>
      <c r="AS236" s="406">
        <f t="shared" si="61"/>
        <v>0</v>
      </c>
      <c r="AT236" s="407">
        <f t="shared" si="62"/>
        <v>0</v>
      </c>
      <c r="AU236" s="407">
        <f t="shared" si="63"/>
        <v>0</v>
      </c>
      <c r="AV236" s="407">
        <f t="shared" si="64"/>
        <v>0</v>
      </c>
      <c r="AW236" s="407">
        <f t="shared" si="65"/>
        <v>0</v>
      </c>
      <c r="AX236" s="408">
        <f t="shared" si="66"/>
        <v>0</v>
      </c>
      <c r="AY236" s="406">
        <f t="shared" si="67"/>
        <v>0</v>
      </c>
      <c r="AZ236" s="407">
        <f t="shared" si="68"/>
        <v>0</v>
      </c>
      <c r="BA236" s="407">
        <f t="shared" si="69"/>
        <v>0</v>
      </c>
      <c r="BB236" s="407">
        <f t="shared" si="70"/>
        <v>0</v>
      </c>
      <c r="BC236" s="407">
        <f t="shared" si="71"/>
        <v>0</v>
      </c>
      <c r="BD236" s="408">
        <f t="shared" si="72"/>
        <v>0</v>
      </c>
      <c r="BE236" s="406">
        <f t="shared" si="73"/>
        <v>0</v>
      </c>
      <c r="BF236" s="407">
        <f t="shared" si="74"/>
        <v>0</v>
      </c>
      <c r="BG236" s="407">
        <f t="shared" si="75"/>
        <v>0</v>
      </c>
      <c r="BH236" s="407">
        <f t="shared" si="76"/>
        <v>0</v>
      </c>
      <c r="BI236" s="407">
        <f t="shared" si="77"/>
        <v>0</v>
      </c>
      <c r="BJ236" s="408">
        <f t="shared" si="78"/>
        <v>0</v>
      </c>
      <c r="BK236" s="1451"/>
      <c r="BL236" s="1169">
        <f t="shared" si="115"/>
        <v>0</v>
      </c>
      <c r="BM236" s="1116">
        <f t="shared" si="116"/>
        <v>0</v>
      </c>
      <c r="BN236" s="1128">
        <f t="shared" si="79"/>
        <v>0</v>
      </c>
      <c r="BO236" s="1139">
        <f t="shared" si="117"/>
        <v>0</v>
      </c>
      <c r="BP236" s="1130">
        <f t="shared" si="80"/>
        <v>0</v>
      </c>
      <c r="BQ236" s="1139">
        <f t="shared" si="118"/>
        <v>0</v>
      </c>
      <c r="BR236" s="1130">
        <f t="shared" si="81"/>
        <v>0</v>
      </c>
      <c r="BS236" s="1119">
        <f t="shared" si="119"/>
        <v>0</v>
      </c>
      <c r="BT236" s="1132">
        <f t="shared" si="120"/>
        <v>0</v>
      </c>
      <c r="BU236" s="1130">
        <f t="shared" si="121"/>
        <v>0</v>
      </c>
      <c r="BV236" s="1187">
        <f t="shared" si="122"/>
        <v>0</v>
      </c>
      <c r="BW236" s="1116">
        <f t="shared" si="123"/>
        <v>0</v>
      </c>
      <c r="BX236" s="1160">
        <f t="shared" si="82"/>
        <v>0</v>
      </c>
      <c r="BY236" s="1143">
        <f t="shared" si="83"/>
        <v>0</v>
      </c>
      <c r="BZ236" s="1147">
        <f t="shared" si="124"/>
        <v>0</v>
      </c>
      <c r="CA236" s="1119">
        <f t="shared" si="84"/>
        <v>0</v>
      </c>
      <c r="CB236" s="1116" t="e">
        <f t="shared" si="125"/>
        <v>#DIV/0!</v>
      </c>
      <c r="CC236" s="1116" t="e">
        <f t="shared" si="126"/>
        <v>#DIV/0!</v>
      </c>
      <c r="CD236" s="1116">
        <f t="shared" si="127"/>
        <v>0</v>
      </c>
      <c r="CE236" s="1151" t="e">
        <f t="shared" si="128"/>
        <v>#DIV/0!</v>
      </c>
      <c r="CF236" s="1164" t="e">
        <f t="shared" si="129"/>
        <v>#DIV/0!</v>
      </c>
      <c r="CG236" s="1155" t="e">
        <f t="shared" si="130"/>
        <v>#DIV/0!</v>
      </c>
      <c r="CH236" s="1458" t="s">
        <v>1430</v>
      </c>
    </row>
    <row r="237" spans="1:86" ht="12" customHeight="1">
      <c r="A237" s="922">
        <f t="shared" si="107"/>
        <v>0</v>
      </c>
      <c r="B237" s="472" t="str">
        <f t="shared" si="107"/>
        <v xml:space="preserve"> -</v>
      </c>
      <c r="C237" s="320"/>
      <c r="D237" s="320"/>
      <c r="E237" s="2256">
        <f t="shared" si="108"/>
        <v>0</v>
      </c>
      <c r="F237" s="470">
        <f t="shared" si="109"/>
        <v>0</v>
      </c>
      <c r="G237" s="470">
        <f t="shared" si="109"/>
        <v>0</v>
      </c>
      <c r="H237" s="470">
        <f>IF(LEFT(A237,2)="ie",N237/35,(E237-E237*F237*G237/24/365)*(VLOOKUP($A237,Daten!$E$289:$M$391,9,FALSE)))</f>
        <v>0</v>
      </c>
      <c r="I237" s="1363"/>
      <c r="J237" s="1364"/>
      <c r="K237" s="1365"/>
      <c r="L237" s="2254">
        <f t="shared" si="110"/>
        <v>0</v>
      </c>
      <c r="M237" s="2254">
        <f t="shared" si="111"/>
        <v>0</v>
      </c>
      <c r="N237" s="2254">
        <f t="shared" si="112"/>
        <v>0</v>
      </c>
      <c r="O237" s="2254">
        <f t="shared" si="113"/>
        <v>0</v>
      </c>
      <c r="P237" s="2255">
        <f t="shared" si="113"/>
        <v>0</v>
      </c>
      <c r="Q237" s="301">
        <f t="shared" si="114"/>
        <v>0</v>
      </c>
      <c r="R237" s="110"/>
      <c r="S237" s="110"/>
      <c r="T237" s="110"/>
      <c r="U237" s="110"/>
      <c r="V237" s="110"/>
      <c r="W237" s="110"/>
      <c r="AA237" s="406">
        <f t="shared" si="43"/>
        <v>0</v>
      </c>
      <c r="AB237" s="407">
        <f t="shared" si="44"/>
        <v>0</v>
      </c>
      <c r="AC237" s="407">
        <f t="shared" si="45"/>
        <v>0</v>
      </c>
      <c r="AD237" s="407">
        <f t="shared" si="46"/>
        <v>0</v>
      </c>
      <c r="AE237" s="407">
        <f t="shared" si="47"/>
        <v>0</v>
      </c>
      <c r="AF237" s="408">
        <f t="shared" si="48"/>
        <v>0</v>
      </c>
      <c r="AG237" s="406">
        <f t="shared" si="49"/>
        <v>0</v>
      </c>
      <c r="AH237" s="407">
        <f t="shared" si="50"/>
        <v>0</v>
      </c>
      <c r="AI237" s="407">
        <f t="shared" si="51"/>
        <v>0</v>
      </c>
      <c r="AJ237" s="407">
        <f t="shared" si="52"/>
        <v>0</v>
      </c>
      <c r="AK237" s="407">
        <f t="shared" si="53"/>
        <v>0</v>
      </c>
      <c r="AL237" s="408">
        <f t="shared" si="54"/>
        <v>0</v>
      </c>
      <c r="AM237" s="406">
        <f t="shared" si="55"/>
        <v>0</v>
      </c>
      <c r="AN237" s="407">
        <f t="shared" si="56"/>
        <v>0</v>
      </c>
      <c r="AO237" s="407">
        <f t="shared" si="57"/>
        <v>0</v>
      </c>
      <c r="AP237" s="407">
        <f t="shared" si="58"/>
        <v>0</v>
      </c>
      <c r="AQ237" s="407">
        <f t="shared" si="59"/>
        <v>0</v>
      </c>
      <c r="AR237" s="408">
        <f t="shared" si="60"/>
        <v>0</v>
      </c>
      <c r="AS237" s="406">
        <f t="shared" si="61"/>
        <v>0</v>
      </c>
      <c r="AT237" s="407">
        <f t="shared" si="62"/>
        <v>0</v>
      </c>
      <c r="AU237" s="407">
        <f t="shared" si="63"/>
        <v>0</v>
      </c>
      <c r="AV237" s="407">
        <f t="shared" si="64"/>
        <v>0</v>
      </c>
      <c r="AW237" s="407">
        <f t="shared" si="65"/>
        <v>0</v>
      </c>
      <c r="AX237" s="408">
        <f t="shared" si="66"/>
        <v>0</v>
      </c>
      <c r="AY237" s="406">
        <f t="shared" si="67"/>
        <v>0</v>
      </c>
      <c r="AZ237" s="407">
        <f t="shared" si="68"/>
        <v>0</v>
      </c>
      <c r="BA237" s="407">
        <f t="shared" si="69"/>
        <v>0</v>
      </c>
      <c r="BB237" s="407">
        <f t="shared" si="70"/>
        <v>0</v>
      </c>
      <c r="BC237" s="407">
        <f t="shared" si="71"/>
        <v>0</v>
      </c>
      <c r="BD237" s="408">
        <f t="shared" si="72"/>
        <v>0</v>
      </c>
      <c r="BE237" s="406">
        <f t="shared" si="73"/>
        <v>0</v>
      </c>
      <c r="BF237" s="407">
        <f t="shared" si="74"/>
        <v>0</v>
      </c>
      <c r="BG237" s="407">
        <f t="shared" si="75"/>
        <v>0</v>
      </c>
      <c r="BH237" s="407">
        <f t="shared" si="76"/>
        <v>0</v>
      </c>
      <c r="BI237" s="407">
        <f t="shared" si="77"/>
        <v>0</v>
      </c>
      <c r="BJ237" s="408">
        <f t="shared" si="78"/>
        <v>0</v>
      </c>
      <c r="BK237" s="1451"/>
      <c r="BL237" s="1169">
        <f t="shared" si="115"/>
        <v>0</v>
      </c>
      <c r="BM237" s="1116">
        <f t="shared" si="116"/>
        <v>0</v>
      </c>
      <c r="BN237" s="1128">
        <f t="shared" si="79"/>
        <v>0</v>
      </c>
      <c r="BO237" s="1139">
        <f t="shared" si="117"/>
        <v>0</v>
      </c>
      <c r="BP237" s="1130">
        <f t="shared" si="80"/>
        <v>0</v>
      </c>
      <c r="BQ237" s="1139">
        <f t="shared" si="118"/>
        <v>0</v>
      </c>
      <c r="BR237" s="1130">
        <f t="shared" si="81"/>
        <v>0</v>
      </c>
      <c r="BS237" s="1119">
        <f t="shared" si="119"/>
        <v>0</v>
      </c>
      <c r="BT237" s="1132">
        <f t="shared" si="120"/>
        <v>0</v>
      </c>
      <c r="BU237" s="1130">
        <f t="shared" si="121"/>
        <v>0</v>
      </c>
      <c r="BV237" s="1187">
        <f t="shared" si="122"/>
        <v>0</v>
      </c>
      <c r="BW237" s="1116">
        <f t="shared" si="123"/>
        <v>0</v>
      </c>
      <c r="BX237" s="1160">
        <f t="shared" si="82"/>
        <v>0</v>
      </c>
      <c r="BY237" s="1143">
        <f t="shared" si="83"/>
        <v>0</v>
      </c>
      <c r="BZ237" s="1147">
        <f t="shared" si="124"/>
        <v>0</v>
      </c>
      <c r="CA237" s="1119">
        <f t="shared" si="84"/>
        <v>0</v>
      </c>
      <c r="CB237" s="1116" t="e">
        <f t="shared" si="125"/>
        <v>#DIV/0!</v>
      </c>
      <c r="CC237" s="1116" t="e">
        <f t="shared" si="126"/>
        <v>#DIV/0!</v>
      </c>
      <c r="CD237" s="1116">
        <f t="shared" si="127"/>
        <v>0</v>
      </c>
      <c r="CE237" s="1151" t="e">
        <f t="shared" si="128"/>
        <v>#DIV/0!</v>
      </c>
      <c r="CF237" s="1164" t="e">
        <f t="shared" si="129"/>
        <v>#DIV/0!</v>
      </c>
      <c r="CG237" s="1155" t="e">
        <f t="shared" si="130"/>
        <v>#DIV/0!</v>
      </c>
      <c r="CH237" s="1458" t="s">
        <v>1430</v>
      </c>
    </row>
    <row r="238" spans="1:86" ht="12" customHeight="1">
      <c r="A238" s="922">
        <f t="shared" si="107"/>
        <v>0</v>
      </c>
      <c r="B238" s="472" t="str">
        <f t="shared" si="107"/>
        <v xml:space="preserve"> -</v>
      </c>
      <c r="C238" s="320"/>
      <c r="D238" s="320"/>
      <c r="E238" s="2256">
        <f t="shared" si="108"/>
        <v>0</v>
      </c>
      <c r="F238" s="470">
        <f t="shared" si="109"/>
        <v>0</v>
      </c>
      <c r="G238" s="470">
        <f t="shared" si="109"/>
        <v>0</v>
      </c>
      <c r="H238" s="470">
        <f>IF(LEFT(A238,2)="ie",N238/35,(E238-E238*F238*G238/24/365)*(VLOOKUP($A238,Daten!$E$289:$M$391,9,FALSE)))</f>
        <v>0</v>
      </c>
      <c r="I238" s="1363"/>
      <c r="J238" s="1364"/>
      <c r="K238" s="1365"/>
      <c r="L238" s="2254">
        <f t="shared" si="110"/>
        <v>0</v>
      </c>
      <c r="M238" s="2254">
        <f t="shared" si="111"/>
        <v>0</v>
      </c>
      <c r="N238" s="2254">
        <f t="shared" si="112"/>
        <v>0</v>
      </c>
      <c r="O238" s="2254">
        <f t="shared" si="113"/>
        <v>0</v>
      </c>
      <c r="P238" s="2255">
        <f t="shared" si="113"/>
        <v>0</v>
      </c>
      <c r="Q238" s="301">
        <f t="shared" si="114"/>
        <v>0</v>
      </c>
      <c r="R238" s="110"/>
      <c r="S238" s="110"/>
      <c r="T238" s="110"/>
      <c r="U238" s="110"/>
      <c r="V238" s="110"/>
      <c r="W238" s="110"/>
      <c r="AA238" s="406">
        <f t="shared" si="43"/>
        <v>0</v>
      </c>
      <c r="AB238" s="407">
        <f t="shared" si="44"/>
        <v>0</v>
      </c>
      <c r="AC238" s="407">
        <f t="shared" si="45"/>
        <v>0</v>
      </c>
      <c r="AD238" s="407">
        <f t="shared" si="46"/>
        <v>0</v>
      </c>
      <c r="AE238" s="407">
        <f t="shared" si="47"/>
        <v>0</v>
      </c>
      <c r="AF238" s="408">
        <f t="shared" si="48"/>
        <v>0</v>
      </c>
      <c r="AG238" s="406">
        <f t="shared" si="49"/>
        <v>0</v>
      </c>
      <c r="AH238" s="407">
        <f t="shared" si="50"/>
        <v>0</v>
      </c>
      <c r="AI238" s="407">
        <f t="shared" si="51"/>
        <v>0</v>
      </c>
      <c r="AJ238" s="407">
        <f t="shared" si="52"/>
        <v>0</v>
      </c>
      <c r="AK238" s="407">
        <f t="shared" si="53"/>
        <v>0</v>
      </c>
      <c r="AL238" s="408">
        <f t="shared" si="54"/>
        <v>0</v>
      </c>
      <c r="AM238" s="406">
        <f t="shared" si="55"/>
        <v>0</v>
      </c>
      <c r="AN238" s="407">
        <f t="shared" si="56"/>
        <v>0</v>
      </c>
      <c r="AO238" s="407">
        <f t="shared" si="57"/>
        <v>0</v>
      </c>
      <c r="AP238" s="407">
        <f t="shared" si="58"/>
        <v>0</v>
      </c>
      <c r="AQ238" s="407">
        <f t="shared" si="59"/>
        <v>0</v>
      </c>
      <c r="AR238" s="408">
        <f t="shared" si="60"/>
        <v>0</v>
      </c>
      <c r="AS238" s="406">
        <f t="shared" si="61"/>
        <v>0</v>
      </c>
      <c r="AT238" s="407">
        <f t="shared" si="62"/>
        <v>0</v>
      </c>
      <c r="AU238" s="407">
        <f t="shared" si="63"/>
        <v>0</v>
      </c>
      <c r="AV238" s="407">
        <f t="shared" si="64"/>
        <v>0</v>
      </c>
      <c r="AW238" s="407">
        <f t="shared" si="65"/>
        <v>0</v>
      </c>
      <c r="AX238" s="408">
        <f t="shared" si="66"/>
        <v>0</v>
      </c>
      <c r="AY238" s="406">
        <f t="shared" si="67"/>
        <v>0</v>
      </c>
      <c r="AZ238" s="407">
        <f t="shared" si="68"/>
        <v>0</v>
      </c>
      <c r="BA238" s="407">
        <f t="shared" si="69"/>
        <v>0</v>
      </c>
      <c r="BB238" s="407">
        <f t="shared" si="70"/>
        <v>0</v>
      </c>
      <c r="BC238" s="407">
        <f t="shared" si="71"/>
        <v>0</v>
      </c>
      <c r="BD238" s="408">
        <f t="shared" si="72"/>
        <v>0</v>
      </c>
      <c r="BE238" s="406">
        <f t="shared" si="73"/>
        <v>0</v>
      </c>
      <c r="BF238" s="407">
        <f t="shared" si="74"/>
        <v>0</v>
      </c>
      <c r="BG238" s="407">
        <f t="shared" si="75"/>
        <v>0</v>
      </c>
      <c r="BH238" s="407">
        <f t="shared" si="76"/>
        <v>0</v>
      </c>
      <c r="BI238" s="407">
        <f t="shared" si="77"/>
        <v>0</v>
      </c>
      <c r="BJ238" s="408">
        <f t="shared" si="78"/>
        <v>0</v>
      </c>
      <c r="BK238" s="1451"/>
      <c r="BL238" s="1169">
        <f t="shared" si="115"/>
        <v>0</v>
      </c>
      <c r="BM238" s="1116">
        <f t="shared" si="116"/>
        <v>0</v>
      </c>
      <c r="BN238" s="1128">
        <f t="shared" si="79"/>
        <v>0</v>
      </c>
      <c r="BO238" s="1139">
        <f t="shared" si="117"/>
        <v>0</v>
      </c>
      <c r="BP238" s="1130">
        <f t="shared" si="80"/>
        <v>0</v>
      </c>
      <c r="BQ238" s="1139">
        <f t="shared" si="118"/>
        <v>0</v>
      </c>
      <c r="BR238" s="1130">
        <f t="shared" si="81"/>
        <v>0</v>
      </c>
      <c r="BS238" s="1119">
        <f t="shared" si="119"/>
        <v>0</v>
      </c>
      <c r="BT238" s="1132">
        <f t="shared" si="120"/>
        <v>0</v>
      </c>
      <c r="BU238" s="1130">
        <f t="shared" si="121"/>
        <v>0</v>
      </c>
      <c r="BV238" s="1187">
        <f t="shared" si="122"/>
        <v>0</v>
      </c>
      <c r="BW238" s="1116">
        <f t="shared" si="123"/>
        <v>0</v>
      </c>
      <c r="BX238" s="1160">
        <f t="shared" si="82"/>
        <v>0</v>
      </c>
      <c r="BY238" s="1143">
        <f t="shared" si="83"/>
        <v>0</v>
      </c>
      <c r="BZ238" s="1147">
        <f t="shared" si="124"/>
        <v>0</v>
      </c>
      <c r="CA238" s="1119">
        <f t="shared" si="84"/>
        <v>0</v>
      </c>
      <c r="CB238" s="1116" t="e">
        <f t="shared" si="125"/>
        <v>#DIV/0!</v>
      </c>
      <c r="CC238" s="1116" t="e">
        <f t="shared" si="126"/>
        <v>#DIV/0!</v>
      </c>
      <c r="CD238" s="1116">
        <f t="shared" si="127"/>
        <v>0</v>
      </c>
      <c r="CE238" s="1151" t="e">
        <f t="shared" si="128"/>
        <v>#DIV/0!</v>
      </c>
      <c r="CF238" s="1164" t="e">
        <f t="shared" si="129"/>
        <v>#DIV/0!</v>
      </c>
      <c r="CG238" s="1155" t="e">
        <f t="shared" si="130"/>
        <v>#DIV/0!</v>
      </c>
      <c r="CH238" s="1458" t="s">
        <v>1430</v>
      </c>
    </row>
    <row r="239" spans="1:86" ht="12" customHeight="1">
      <c r="A239" s="922">
        <f t="shared" si="107"/>
        <v>0</v>
      </c>
      <c r="B239" s="472" t="str">
        <f t="shared" si="107"/>
        <v xml:space="preserve"> -</v>
      </c>
      <c r="C239" s="320"/>
      <c r="D239" s="320"/>
      <c r="E239" s="2256">
        <f t="shared" si="108"/>
        <v>0</v>
      </c>
      <c r="F239" s="470">
        <f t="shared" si="109"/>
        <v>0</v>
      </c>
      <c r="G239" s="470">
        <f t="shared" si="109"/>
        <v>0</v>
      </c>
      <c r="H239" s="470">
        <f>IF(LEFT(A239,2)="ie",N239/35,(E239-E239*F239*G239/24/365)*(VLOOKUP($A239,Daten!$E$289:$M$391,9,FALSE)))</f>
        <v>0</v>
      </c>
      <c r="I239" s="1363"/>
      <c r="J239" s="1364"/>
      <c r="K239" s="1365"/>
      <c r="L239" s="2254">
        <f t="shared" si="110"/>
        <v>0</v>
      </c>
      <c r="M239" s="2254">
        <f t="shared" si="111"/>
        <v>0</v>
      </c>
      <c r="N239" s="2254">
        <f t="shared" si="112"/>
        <v>0</v>
      </c>
      <c r="O239" s="2254">
        <f t="shared" si="113"/>
        <v>0</v>
      </c>
      <c r="P239" s="2255">
        <f t="shared" si="113"/>
        <v>0</v>
      </c>
      <c r="Q239" s="301">
        <f t="shared" si="114"/>
        <v>0</v>
      </c>
      <c r="R239" s="110"/>
      <c r="S239" s="110"/>
      <c r="T239" s="110"/>
      <c r="U239" s="110"/>
      <c r="V239" s="110"/>
      <c r="W239" s="110"/>
      <c r="AA239" s="406">
        <f t="shared" si="43"/>
        <v>0</v>
      </c>
      <c r="AB239" s="407">
        <f t="shared" si="44"/>
        <v>0</v>
      </c>
      <c r="AC239" s="407">
        <f t="shared" si="45"/>
        <v>0</v>
      </c>
      <c r="AD239" s="407">
        <f t="shared" si="46"/>
        <v>0</v>
      </c>
      <c r="AE239" s="407">
        <f t="shared" si="47"/>
        <v>0</v>
      </c>
      <c r="AF239" s="408">
        <f t="shared" si="48"/>
        <v>0</v>
      </c>
      <c r="AG239" s="406">
        <f t="shared" si="49"/>
        <v>0</v>
      </c>
      <c r="AH239" s="407">
        <f t="shared" si="50"/>
        <v>0</v>
      </c>
      <c r="AI239" s="407">
        <f t="shared" si="51"/>
        <v>0</v>
      </c>
      <c r="AJ239" s="407">
        <f t="shared" si="52"/>
        <v>0</v>
      </c>
      <c r="AK239" s="407">
        <f t="shared" si="53"/>
        <v>0</v>
      </c>
      <c r="AL239" s="408">
        <f t="shared" si="54"/>
        <v>0</v>
      </c>
      <c r="AM239" s="406">
        <f t="shared" si="55"/>
        <v>0</v>
      </c>
      <c r="AN239" s="407">
        <f t="shared" si="56"/>
        <v>0</v>
      </c>
      <c r="AO239" s="407">
        <f t="shared" si="57"/>
        <v>0</v>
      </c>
      <c r="AP239" s="407">
        <f t="shared" si="58"/>
        <v>0</v>
      </c>
      <c r="AQ239" s="407">
        <f t="shared" si="59"/>
        <v>0</v>
      </c>
      <c r="AR239" s="408">
        <f t="shared" si="60"/>
        <v>0</v>
      </c>
      <c r="AS239" s="406">
        <f t="shared" si="61"/>
        <v>0</v>
      </c>
      <c r="AT239" s="407">
        <f t="shared" si="62"/>
        <v>0</v>
      </c>
      <c r="AU239" s="407">
        <f t="shared" si="63"/>
        <v>0</v>
      </c>
      <c r="AV239" s="407">
        <f t="shared" si="64"/>
        <v>0</v>
      </c>
      <c r="AW239" s="407">
        <f t="shared" si="65"/>
        <v>0</v>
      </c>
      <c r="AX239" s="408">
        <f t="shared" si="66"/>
        <v>0</v>
      </c>
      <c r="AY239" s="406">
        <f t="shared" si="67"/>
        <v>0</v>
      </c>
      <c r="AZ239" s="407">
        <f t="shared" si="68"/>
        <v>0</v>
      </c>
      <c r="BA239" s="407">
        <f t="shared" si="69"/>
        <v>0</v>
      </c>
      <c r="BB239" s="407">
        <f t="shared" si="70"/>
        <v>0</v>
      </c>
      <c r="BC239" s="407">
        <f t="shared" si="71"/>
        <v>0</v>
      </c>
      <c r="BD239" s="408">
        <f t="shared" si="72"/>
        <v>0</v>
      </c>
      <c r="BE239" s="406">
        <f t="shared" si="73"/>
        <v>0</v>
      </c>
      <c r="BF239" s="407">
        <f t="shared" si="74"/>
        <v>0</v>
      </c>
      <c r="BG239" s="407">
        <f t="shared" si="75"/>
        <v>0</v>
      </c>
      <c r="BH239" s="407">
        <f t="shared" si="76"/>
        <v>0</v>
      </c>
      <c r="BI239" s="407">
        <f t="shared" si="77"/>
        <v>0</v>
      </c>
      <c r="BJ239" s="408">
        <f t="shared" si="78"/>
        <v>0</v>
      </c>
      <c r="BK239" s="1451"/>
      <c r="BL239" s="1169">
        <f t="shared" si="115"/>
        <v>0</v>
      </c>
      <c r="BM239" s="1116">
        <f t="shared" si="116"/>
        <v>0</v>
      </c>
      <c r="BN239" s="1128">
        <f t="shared" si="79"/>
        <v>0</v>
      </c>
      <c r="BO239" s="1139">
        <f t="shared" si="117"/>
        <v>0</v>
      </c>
      <c r="BP239" s="1130">
        <f t="shared" si="80"/>
        <v>0</v>
      </c>
      <c r="BQ239" s="1139">
        <f t="shared" si="118"/>
        <v>0</v>
      </c>
      <c r="BR239" s="1130">
        <f t="shared" si="81"/>
        <v>0</v>
      </c>
      <c r="BS239" s="1119">
        <f t="shared" si="119"/>
        <v>0</v>
      </c>
      <c r="BT239" s="1132">
        <f t="shared" si="120"/>
        <v>0</v>
      </c>
      <c r="BU239" s="1130">
        <f t="shared" si="121"/>
        <v>0</v>
      </c>
      <c r="BV239" s="1187">
        <f t="shared" si="122"/>
        <v>0</v>
      </c>
      <c r="BW239" s="1116">
        <f t="shared" si="123"/>
        <v>0</v>
      </c>
      <c r="BX239" s="1160">
        <f t="shared" si="82"/>
        <v>0</v>
      </c>
      <c r="BY239" s="1143">
        <f t="shared" si="83"/>
        <v>0</v>
      </c>
      <c r="BZ239" s="1147">
        <f t="shared" si="124"/>
        <v>0</v>
      </c>
      <c r="CA239" s="1119">
        <f t="shared" si="84"/>
        <v>0</v>
      </c>
      <c r="CB239" s="1116" t="e">
        <f t="shared" si="125"/>
        <v>#DIV/0!</v>
      </c>
      <c r="CC239" s="1116" t="e">
        <f t="shared" si="126"/>
        <v>#DIV/0!</v>
      </c>
      <c r="CD239" s="1116">
        <f t="shared" si="127"/>
        <v>0</v>
      </c>
      <c r="CE239" s="1151" t="e">
        <f t="shared" si="128"/>
        <v>#DIV/0!</v>
      </c>
      <c r="CF239" s="1164" t="e">
        <f t="shared" si="129"/>
        <v>#DIV/0!</v>
      </c>
      <c r="CG239" s="1155" t="e">
        <f t="shared" si="130"/>
        <v>#DIV/0!</v>
      </c>
      <c r="CH239" s="1458" t="s">
        <v>1430</v>
      </c>
    </row>
    <row r="240" spans="1:86" ht="12" customHeight="1">
      <c r="A240" s="922">
        <f t="shared" si="107"/>
        <v>0</v>
      </c>
      <c r="B240" s="473" t="str">
        <f t="shared" si="107"/>
        <v xml:space="preserve"> -</v>
      </c>
      <c r="C240" s="410"/>
      <c r="D240" s="410"/>
      <c r="E240" s="2257">
        <f t="shared" si="108"/>
        <v>0</v>
      </c>
      <c r="F240" s="474">
        <f t="shared" si="109"/>
        <v>0</v>
      </c>
      <c r="G240" s="474">
        <f t="shared" si="109"/>
        <v>0</v>
      </c>
      <c r="H240" s="474">
        <f>IF(LEFT(A240,2)="ie",N240/35,(E240-E240*F240*G240/24/365)*(VLOOKUP($A240,Daten!$E$289:$M$391,9,FALSE)))</f>
        <v>0</v>
      </c>
      <c r="I240" s="1363"/>
      <c r="J240" s="1364"/>
      <c r="K240" s="1365"/>
      <c r="L240" s="2254">
        <f t="shared" si="110"/>
        <v>0</v>
      </c>
      <c r="M240" s="2254">
        <f t="shared" si="111"/>
        <v>0</v>
      </c>
      <c r="N240" s="2254">
        <f t="shared" si="112"/>
        <v>0</v>
      </c>
      <c r="O240" s="2254">
        <f t="shared" si="113"/>
        <v>0</v>
      </c>
      <c r="P240" s="2255">
        <f t="shared" si="113"/>
        <v>0</v>
      </c>
      <c r="Q240" s="301">
        <f t="shared" si="114"/>
        <v>0</v>
      </c>
      <c r="R240" s="110"/>
      <c r="S240" s="110"/>
      <c r="T240" s="110"/>
      <c r="U240" s="110"/>
      <c r="V240" s="110"/>
      <c r="W240" s="110"/>
      <c r="X240" s="4"/>
      <c r="Y240" s="4"/>
      <c r="Z240" s="4"/>
      <c r="AA240" s="406">
        <f t="shared" si="43"/>
        <v>0</v>
      </c>
      <c r="AB240" s="407">
        <f t="shared" si="44"/>
        <v>0</v>
      </c>
      <c r="AC240" s="407">
        <f t="shared" si="45"/>
        <v>0</v>
      </c>
      <c r="AD240" s="407">
        <f t="shared" si="46"/>
        <v>0</v>
      </c>
      <c r="AE240" s="407">
        <f t="shared" si="47"/>
        <v>0</v>
      </c>
      <c r="AF240" s="408">
        <f t="shared" si="48"/>
        <v>0</v>
      </c>
      <c r="AG240" s="406">
        <f t="shared" si="49"/>
        <v>0</v>
      </c>
      <c r="AH240" s="407">
        <f t="shared" si="50"/>
        <v>0</v>
      </c>
      <c r="AI240" s="407">
        <f t="shared" si="51"/>
        <v>0</v>
      </c>
      <c r="AJ240" s="407">
        <f t="shared" si="52"/>
        <v>0</v>
      </c>
      <c r="AK240" s="407">
        <f t="shared" si="53"/>
        <v>0</v>
      </c>
      <c r="AL240" s="408">
        <f t="shared" si="54"/>
        <v>0</v>
      </c>
      <c r="AM240" s="406">
        <f t="shared" si="55"/>
        <v>0</v>
      </c>
      <c r="AN240" s="407">
        <f t="shared" si="56"/>
        <v>0</v>
      </c>
      <c r="AO240" s="407">
        <f t="shared" si="57"/>
        <v>0</v>
      </c>
      <c r="AP240" s="407">
        <f t="shared" si="58"/>
        <v>0</v>
      </c>
      <c r="AQ240" s="407">
        <f t="shared" si="59"/>
        <v>0</v>
      </c>
      <c r="AR240" s="408">
        <f t="shared" si="60"/>
        <v>0</v>
      </c>
      <c r="AS240" s="406">
        <f t="shared" si="61"/>
        <v>0</v>
      </c>
      <c r="AT240" s="407">
        <f t="shared" si="62"/>
        <v>0</v>
      </c>
      <c r="AU240" s="407">
        <f t="shared" si="63"/>
        <v>0</v>
      </c>
      <c r="AV240" s="407">
        <f t="shared" si="64"/>
        <v>0</v>
      </c>
      <c r="AW240" s="407">
        <f t="shared" si="65"/>
        <v>0</v>
      </c>
      <c r="AX240" s="408">
        <f t="shared" si="66"/>
        <v>0</v>
      </c>
      <c r="AY240" s="406">
        <f t="shared" si="67"/>
        <v>0</v>
      </c>
      <c r="AZ240" s="407">
        <f t="shared" si="68"/>
        <v>0</v>
      </c>
      <c r="BA240" s="407">
        <f t="shared" si="69"/>
        <v>0</v>
      </c>
      <c r="BB240" s="407">
        <f t="shared" si="70"/>
        <v>0</v>
      </c>
      <c r="BC240" s="407">
        <f t="shared" si="71"/>
        <v>0</v>
      </c>
      <c r="BD240" s="408">
        <f t="shared" si="72"/>
        <v>0</v>
      </c>
      <c r="BE240" s="406">
        <f t="shared" si="73"/>
        <v>0</v>
      </c>
      <c r="BF240" s="407">
        <f t="shared" si="74"/>
        <v>0</v>
      </c>
      <c r="BG240" s="407">
        <f t="shared" si="75"/>
        <v>0</v>
      </c>
      <c r="BH240" s="407">
        <f t="shared" si="76"/>
        <v>0</v>
      </c>
      <c r="BI240" s="407">
        <f t="shared" si="77"/>
        <v>0</v>
      </c>
      <c r="BJ240" s="408">
        <f t="shared" si="78"/>
        <v>0</v>
      </c>
      <c r="BK240" s="1451"/>
      <c r="BL240" s="1169">
        <f t="shared" si="115"/>
        <v>0</v>
      </c>
      <c r="BM240" s="1116">
        <f t="shared" si="116"/>
        <v>0</v>
      </c>
      <c r="BN240" s="1128">
        <f t="shared" si="79"/>
        <v>0</v>
      </c>
      <c r="BO240" s="1139">
        <f t="shared" si="117"/>
        <v>0</v>
      </c>
      <c r="BP240" s="1130">
        <f t="shared" si="80"/>
        <v>0</v>
      </c>
      <c r="BQ240" s="1139">
        <f t="shared" si="118"/>
        <v>0</v>
      </c>
      <c r="BR240" s="1130">
        <f t="shared" si="81"/>
        <v>0</v>
      </c>
      <c r="BS240" s="1119">
        <f t="shared" si="119"/>
        <v>0</v>
      </c>
      <c r="BT240" s="1132">
        <f t="shared" si="120"/>
        <v>0</v>
      </c>
      <c r="BU240" s="1130">
        <f t="shared" si="121"/>
        <v>0</v>
      </c>
      <c r="BV240" s="1187">
        <f t="shared" si="122"/>
        <v>0</v>
      </c>
      <c r="BW240" s="1116">
        <f t="shared" si="123"/>
        <v>0</v>
      </c>
      <c r="BX240" s="1160">
        <f t="shared" si="82"/>
        <v>0</v>
      </c>
      <c r="BY240" s="1143">
        <f t="shared" si="83"/>
        <v>0</v>
      </c>
      <c r="BZ240" s="1147">
        <f t="shared" si="124"/>
        <v>0</v>
      </c>
      <c r="CA240" s="1119">
        <f t="shared" si="84"/>
        <v>0</v>
      </c>
      <c r="CB240" s="1116" t="e">
        <f t="shared" si="125"/>
        <v>#DIV/0!</v>
      </c>
      <c r="CC240" s="1116" t="e">
        <f t="shared" si="126"/>
        <v>#DIV/0!</v>
      </c>
      <c r="CD240" s="1116">
        <f t="shared" si="127"/>
        <v>0</v>
      </c>
      <c r="CE240" s="1151" t="e">
        <f t="shared" si="128"/>
        <v>#DIV/0!</v>
      </c>
      <c r="CF240" s="1164" t="e">
        <f t="shared" si="129"/>
        <v>#DIV/0!</v>
      </c>
      <c r="CG240" s="1155" t="e">
        <f t="shared" si="130"/>
        <v>#DIV/0!</v>
      </c>
      <c r="CH240" s="1458" t="s">
        <v>1430</v>
      </c>
    </row>
    <row r="241" spans="2:86" ht="12" customHeight="1">
      <c r="B241" s="9"/>
      <c r="C241" s="9"/>
      <c r="D241" s="9"/>
      <c r="E241" s="9"/>
      <c r="F241" s="9"/>
      <c r="G241" s="9"/>
      <c r="H241" s="9"/>
      <c r="I241" s="9"/>
      <c r="J241" s="9"/>
      <c r="K241" s="80" t="s">
        <v>894</v>
      </c>
      <c r="L241" s="2167">
        <f>SUM(L225:L240)</f>
        <v>0</v>
      </c>
      <c r="M241" s="2167">
        <f>ROUND(SUM(M225:M240),0)</f>
        <v>0</v>
      </c>
      <c r="N241" s="2167">
        <f>ROUND(SUM(N225:N240),0)</f>
        <v>0</v>
      </c>
      <c r="O241" s="2167">
        <f>ROUND(SUM(O225:O240),0)</f>
        <v>0</v>
      </c>
      <c r="P241" s="2167">
        <f>ROUND(SUM(P225:P240),0)</f>
        <v>0</v>
      </c>
      <c r="Q241" s="293"/>
      <c r="R241" s="105"/>
      <c r="S241" s="156"/>
      <c r="T241" s="156"/>
      <c r="U241" s="156"/>
      <c r="V241" s="156"/>
      <c r="W241" s="156"/>
      <c r="AA241" s="409"/>
      <c r="AB241" s="306"/>
      <c r="AC241" s="306"/>
      <c r="AD241" s="306"/>
      <c r="AE241" s="306"/>
      <c r="AF241" s="306"/>
      <c r="AG241" s="306"/>
      <c r="AH241" s="306"/>
      <c r="AI241" s="306"/>
      <c r="AJ241" s="306"/>
      <c r="AK241" s="306"/>
      <c r="AL241" s="306"/>
      <c r="AM241" s="306"/>
      <c r="AN241" s="306"/>
      <c r="AO241" s="306"/>
      <c r="AP241" s="306"/>
      <c r="AQ241" s="306"/>
      <c r="AR241" s="306"/>
      <c r="AS241" s="306"/>
      <c r="AT241" s="306"/>
      <c r="AU241" s="306"/>
      <c r="AV241" s="306"/>
      <c r="AW241" s="306"/>
      <c r="AX241" s="306"/>
      <c r="AY241" s="306"/>
      <c r="AZ241" s="306"/>
      <c r="BA241" s="306"/>
      <c r="BB241" s="306"/>
      <c r="BC241" s="306"/>
      <c r="BD241" s="306"/>
      <c r="BE241" s="306"/>
      <c r="BF241" s="306"/>
      <c r="BG241" s="306"/>
      <c r="BH241" s="306"/>
      <c r="BI241" s="306"/>
      <c r="BJ241" s="306"/>
      <c r="BK241" s="1451"/>
      <c r="BL241" s="1175">
        <f>SUM(BL225:BL240)</f>
        <v>0</v>
      </c>
      <c r="BM241" s="1176">
        <f>SUM(BM225:BM240)</f>
        <v>0</v>
      </c>
      <c r="BN241" s="1177">
        <f>SUM(BN225:BN240)</f>
        <v>0</v>
      </c>
      <c r="BO241" s="1178"/>
      <c r="BP241" s="1179">
        <f>SUM(BP225:BP240)</f>
        <v>0</v>
      </c>
      <c r="BQ241" s="1178"/>
      <c r="BR241" s="1179">
        <f>SUM(BR225:BR240)</f>
        <v>0</v>
      </c>
      <c r="BS241" s="1183">
        <f>SUM(BS225:BS240)</f>
        <v>0</v>
      </c>
      <c r="BT241" s="1176"/>
      <c r="BU241" s="1179">
        <f t="shared" ref="BU241:CG241" si="131">SUM(BU225:BU240)</f>
        <v>0</v>
      </c>
      <c r="BV241" s="1175">
        <f t="shared" si="131"/>
        <v>0</v>
      </c>
      <c r="BW241" s="1176">
        <f t="shared" si="131"/>
        <v>0</v>
      </c>
      <c r="BX241" s="1180">
        <f t="shared" si="131"/>
        <v>0</v>
      </c>
      <c r="BY241" s="1181">
        <f t="shared" si="131"/>
        <v>0</v>
      </c>
      <c r="BZ241" s="1182">
        <f t="shared" si="131"/>
        <v>0</v>
      </c>
      <c r="CA241" s="1183">
        <f t="shared" si="131"/>
        <v>0</v>
      </c>
      <c r="CB241" s="1176" t="e">
        <f t="shared" si="131"/>
        <v>#DIV/0!</v>
      </c>
      <c r="CC241" s="1176" t="e">
        <f t="shared" si="131"/>
        <v>#DIV/0!</v>
      </c>
      <c r="CD241" s="1176">
        <f t="shared" si="131"/>
        <v>0</v>
      </c>
      <c r="CE241" s="1184" t="e">
        <f t="shared" si="131"/>
        <v>#DIV/0!</v>
      </c>
      <c r="CF241" s="1185" t="e">
        <f t="shared" si="131"/>
        <v>#DIV/0!</v>
      </c>
      <c r="CG241" s="1186" t="e">
        <f t="shared" si="131"/>
        <v>#DIV/0!</v>
      </c>
      <c r="CH241" s="1458" t="s">
        <v>1430</v>
      </c>
    </row>
    <row r="242" spans="2:86" ht="15" customHeight="1">
      <c r="B242" s="9"/>
      <c r="C242" s="9"/>
      <c r="D242" s="9"/>
      <c r="E242" s="9"/>
      <c r="F242" s="9"/>
      <c r="G242" s="9"/>
      <c r="H242" s="9"/>
      <c r="I242" s="9"/>
      <c r="J242" s="9"/>
      <c r="K242" s="80" t="s">
        <v>1446</v>
      </c>
      <c r="L242" s="2177">
        <f>L38-L241</f>
        <v>0</v>
      </c>
      <c r="M242" s="2167">
        <f>L39-M241</f>
        <v>0</v>
      </c>
      <c r="N242" s="2167">
        <f>K156-N241</f>
        <v>0</v>
      </c>
      <c r="O242" s="2167">
        <f>L156-O241</f>
        <v>0</v>
      </c>
      <c r="P242" s="2167">
        <f>M156-P241</f>
        <v>0</v>
      </c>
      <c r="Q242" s="293"/>
      <c r="R242" s="156"/>
      <c r="S242" s="105"/>
      <c r="T242" s="105"/>
      <c r="U242" s="105"/>
      <c r="V242" s="105"/>
      <c r="W242" s="105"/>
      <c r="X242" s="4"/>
      <c r="Y242" s="4"/>
      <c r="Z242" s="4"/>
      <c r="BK242" s="1451"/>
      <c r="BM242" s="1172">
        <f>L36</f>
        <v>0</v>
      </c>
      <c r="BR242" s="1134" t="s">
        <v>1242</v>
      </c>
      <c r="BS242" s="1198">
        <f>P35*0.5</f>
        <v>0</v>
      </c>
      <c r="BT242" s="1131"/>
      <c r="BU242" s="1131"/>
      <c r="BV242" s="1131"/>
      <c r="BW242" s="1198">
        <f>Q35*0.7</f>
        <v>0</v>
      </c>
      <c r="BX242" s="1131"/>
      <c r="BY242" s="1116"/>
      <c r="BZ242" s="1133"/>
      <c r="CB242" s="1173">
        <f>(1-H150)*H156</f>
        <v>0</v>
      </c>
      <c r="CC242" s="1173">
        <f>-H152*H156</f>
        <v>0</v>
      </c>
      <c r="CD242" s="1173">
        <f>-H153*H156</f>
        <v>0</v>
      </c>
      <c r="CE242" s="1174">
        <f>J156</f>
        <v>0</v>
      </c>
      <c r="CF242" s="1122"/>
      <c r="CG242" s="1122"/>
      <c r="CH242" s="1455" t="s">
        <v>1430</v>
      </c>
    </row>
    <row r="243" spans="2:86" ht="7.5" customHeight="1">
      <c r="B243" s="9"/>
      <c r="C243" s="9"/>
      <c r="D243" s="9"/>
      <c r="E243" s="9"/>
      <c r="F243" s="9"/>
      <c r="G243" s="9"/>
      <c r="H243" s="9"/>
      <c r="I243" s="9"/>
      <c r="J243" s="9"/>
      <c r="K243" s="80"/>
      <c r="L243" s="308"/>
      <c r="M243" s="448"/>
      <c r="N243" s="448"/>
      <c r="O243" s="448"/>
      <c r="P243" s="448"/>
      <c r="Q243" s="270"/>
      <c r="R243" s="156"/>
      <c r="S243" s="105"/>
      <c r="T243" s="105"/>
      <c r="U243" s="105"/>
      <c r="V243" s="105"/>
      <c r="W243" s="105"/>
      <c r="X243" s="4"/>
      <c r="Y243" s="4"/>
      <c r="Z243" s="4"/>
      <c r="BK243" s="1459"/>
      <c r="BM243" s="1156"/>
      <c r="BS243" s="1156"/>
      <c r="BW243" s="1156"/>
      <c r="CB243" s="607" t="s">
        <v>1239</v>
      </c>
      <c r="CC243" s="607" t="s">
        <v>1240</v>
      </c>
      <c r="CD243" s="607" t="s">
        <v>34</v>
      </c>
      <c r="CH243" s="1450" t="s">
        <v>1430</v>
      </c>
    </row>
    <row r="244" spans="2:86" ht="17.25" customHeight="1">
      <c r="B244" s="93" t="s">
        <v>1404</v>
      </c>
      <c r="C244" s="4"/>
      <c r="D244" s="4"/>
      <c r="E244" s="4"/>
      <c r="F244" s="4"/>
      <c r="G244" s="4"/>
      <c r="H244" s="4"/>
      <c r="I244" s="4"/>
      <c r="J244" s="4"/>
      <c r="K244" s="104"/>
      <c r="L244" s="320"/>
      <c r="M244" s="320"/>
      <c r="N244" s="320"/>
      <c r="O244" s="320"/>
      <c r="P244" s="320"/>
      <c r="R244" s="105"/>
      <c r="X244" s="4"/>
      <c r="Y244" s="4"/>
      <c r="Z244" s="4"/>
      <c r="BK244" s="1459" t="s">
        <v>1424</v>
      </c>
      <c r="BL244" s="1455" t="s">
        <v>1430</v>
      </c>
      <c r="BM244" s="1455" t="s">
        <v>1430</v>
      </c>
      <c r="BN244" s="1455" t="s">
        <v>1430</v>
      </c>
      <c r="BO244" s="1455" t="s">
        <v>1430</v>
      </c>
      <c r="BP244" s="1455" t="s">
        <v>1430</v>
      </c>
      <c r="BQ244" s="1460" t="s">
        <v>1430</v>
      </c>
      <c r="BR244" s="1455" t="s">
        <v>1430</v>
      </c>
      <c r="BS244" s="1455" t="s">
        <v>1430</v>
      </c>
      <c r="BT244" s="1455" t="s">
        <v>1430</v>
      </c>
      <c r="BU244" s="1455" t="s">
        <v>1430</v>
      </c>
      <c r="BV244" s="1455" t="s">
        <v>1430</v>
      </c>
      <c r="BW244" s="1455" t="s">
        <v>1430</v>
      </c>
      <c r="BX244" s="1455" t="s">
        <v>1430</v>
      </c>
      <c r="BY244" s="1455" t="s">
        <v>1430</v>
      </c>
      <c r="BZ244" s="1455" t="s">
        <v>1430</v>
      </c>
      <c r="CA244" s="1455" t="s">
        <v>1430</v>
      </c>
      <c r="CB244" s="1455" t="s">
        <v>1430</v>
      </c>
      <c r="CC244" s="1455" t="s">
        <v>1430</v>
      </c>
      <c r="CD244" s="1455" t="s">
        <v>1430</v>
      </c>
      <c r="CE244" s="1455" t="s">
        <v>1430</v>
      </c>
      <c r="CF244" s="1455" t="s">
        <v>1430</v>
      </c>
      <c r="CG244" s="1455" t="s">
        <v>1430</v>
      </c>
      <c r="CH244" s="1459" t="s">
        <v>1424</v>
      </c>
    </row>
    <row r="245" spans="2:86" ht="15" customHeight="1">
      <c r="B245" s="94" t="s">
        <v>58</v>
      </c>
      <c r="C245" s="95"/>
      <c r="D245" s="16" t="s">
        <v>59</v>
      </c>
      <c r="E245" s="97" t="s">
        <v>895</v>
      </c>
      <c r="F245" s="98"/>
      <c r="G245" s="81"/>
      <c r="H245" s="81"/>
      <c r="I245" s="82"/>
      <c r="J245" s="64" t="s">
        <v>867</v>
      </c>
      <c r="K245" s="65" t="s">
        <v>868</v>
      </c>
      <c r="L245" s="449" t="s">
        <v>896</v>
      </c>
      <c r="M245" s="450"/>
      <c r="N245" s="451"/>
      <c r="O245" s="452"/>
      <c r="P245" s="453"/>
      <c r="Q245" s="6"/>
      <c r="R245" s="105"/>
      <c r="AA245" s="306"/>
      <c r="CH245" s="1455"/>
    </row>
    <row r="246" spans="2:86" ht="12" customHeight="1">
      <c r="B246" s="155"/>
      <c r="C246" s="29"/>
      <c r="D246" s="33" t="s">
        <v>899</v>
      </c>
      <c r="E246" s="69" t="s">
        <v>883</v>
      </c>
      <c r="F246" s="69" t="s">
        <v>884</v>
      </c>
      <c r="G246" s="69" t="s">
        <v>885</v>
      </c>
      <c r="H246" s="70" t="s">
        <v>886</v>
      </c>
      <c r="I246" s="71" t="s">
        <v>124</v>
      </c>
      <c r="J246" s="47" t="s">
        <v>878</v>
      </c>
      <c r="K246" s="66" t="s">
        <v>879</v>
      </c>
      <c r="L246" s="454" t="s">
        <v>91</v>
      </c>
      <c r="M246" s="454" t="s">
        <v>700</v>
      </c>
      <c r="N246" s="454" t="s">
        <v>585</v>
      </c>
      <c r="O246" s="454" t="s">
        <v>123</v>
      </c>
      <c r="P246" s="312" t="s">
        <v>64</v>
      </c>
      <c r="Q246" s="24"/>
      <c r="AB246" s="410"/>
      <c r="AC246" s="410"/>
      <c r="AD246" s="410"/>
      <c r="AE246" s="410"/>
      <c r="AF246" s="410"/>
      <c r="AH246" s="410"/>
      <c r="AI246" s="410"/>
      <c r="AJ246" s="410"/>
      <c r="AK246" s="410"/>
      <c r="AL246" s="410"/>
      <c r="AN246" s="410"/>
      <c r="AO246" s="410"/>
      <c r="AP246" s="410"/>
      <c r="AQ246" s="410"/>
      <c r="AR246" s="410"/>
      <c r="AT246" s="410"/>
      <c r="AU246" s="410"/>
      <c r="AV246" s="410"/>
      <c r="AW246" s="410"/>
      <c r="AX246" s="410"/>
      <c r="AZ246" s="410"/>
      <c r="BA246" s="410"/>
      <c r="BB246" s="410"/>
      <c r="BC246" s="410"/>
      <c r="BD246" s="410"/>
      <c r="BF246" s="410"/>
      <c r="BG246" s="410"/>
      <c r="BH246" s="410"/>
      <c r="BI246" s="410"/>
      <c r="BJ246" s="410"/>
      <c r="CH246" s="1455"/>
    </row>
    <row r="247" spans="2:86" ht="12" customHeight="1">
      <c r="B247" s="101" t="s">
        <v>900</v>
      </c>
      <c r="C247" s="92"/>
      <c r="D247" s="2258"/>
      <c r="E247" s="621"/>
      <c r="F247" s="1249" t="str">
        <f>IF(ISNUMBER(E247),E247*H$154,"")</f>
        <v/>
      </c>
      <c r="G247" s="622"/>
      <c r="H247" s="622"/>
      <c r="I247" s="623"/>
      <c r="J247" s="1366"/>
      <c r="K247" s="1367"/>
      <c r="L247" s="2261" t="str">
        <f t="shared" ref="L247:P251" si="132">IF(OR(AND($J247&lt;4, $J247&gt;0, $K247=0),AND($K247&lt;4,$K247&gt;0, $J247=0) ), $D247*E247, "")</f>
        <v/>
      </c>
      <c r="M247" s="2262" t="str">
        <f t="shared" si="132"/>
        <v/>
      </c>
      <c r="N247" s="2262" t="str">
        <f t="shared" si="132"/>
        <v/>
      </c>
      <c r="O247" s="2262" t="str">
        <f t="shared" si="132"/>
        <v/>
      </c>
      <c r="P247" s="2263" t="str">
        <f t="shared" si="132"/>
        <v/>
      </c>
      <c r="Q247" s="301">
        <f>IF(AND(D247&gt;0,SUM(E247:I247)&gt;0,SUM(J247:K247)&lt;1),"Grube / Stock fehlt",IF(COUNTIF(J245:K245,"&gt;3")&gt;0,"Grube-/Stocknummer falsch",))</f>
        <v>0</v>
      </c>
      <c r="AA247" s="406">
        <f>IF($J247=1,$D247,0)</f>
        <v>0</v>
      </c>
      <c r="AB247" s="411">
        <f>IF($J247=1,$L247,0)</f>
        <v>0</v>
      </c>
      <c r="AC247" s="411">
        <f>IF($J247=1,$M247,0)</f>
        <v>0</v>
      </c>
      <c r="AD247" s="411">
        <f>IF($J247=1,$N247,0)</f>
        <v>0</v>
      </c>
      <c r="AE247" s="411">
        <f>IF($J247=1,$O247,0)</f>
        <v>0</v>
      </c>
      <c r="AF247" s="411">
        <f>IF($J247=1,$P247,0)</f>
        <v>0</v>
      </c>
      <c r="AG247" s="406">
        <f>IF($J247=2,$D247,0)</f>
        <v>0</v>
      </c>
      <c r="AH247" s="411">
        <f>IF($J247=2,$L247,0)</f>
        <v>0</v>
      </c>
      <c r="AI247" s="411">
        <f>IF($J247=2,$M247,0)</f>
        <v>0</v>
      </c>
      <c r="AJ247" s="411">
        <f>IF($J247=2,$N247,0)</f>
        <v>0</v>
      </c>
      <c r="AK247" s="411">
        <f>IF($J247=2,$O247,0)</f>
        <v>0</v>
      </c>
      <c r="AL247" s="411">
        <f>IF($J247=2,$P247,0)</f>
        <v>0</v>
      </c>
      <c r="AM247" s="406">
        <f>IF($J247=3,$D247,0)</f>
        <v>0</v>
      </c>
      <c r="AN247" s="411">
        <f>IF($J247=3,$L247,0)</f>
        <v>0</v>
      </c>
      <c r="AO247" s="411">
        <f>IF($J247=3,$M247,0)</f>
        <v>0</v>
      </c>
      <c r="AP247" s="411">
        <f>IF($J247=3,$N247,0)</f>
        <v>0</v>
      </c>
      <c r="AQ247" s="411">
        <f>IF($J247=3,$O247,0)</f>
        <v>0</v>
      </c>
      <c r="AR247" s="411">
        <f>IF($J247=3,$P247,0)</f>
        <v>0</v>
      </c>
      <c r="AS247" s="406">
        <f>IF($K247=1,$D247,0)</f>
        <v>0</v>
      </c>
      <c r="AT247" s="411">
        <f>IF($K247=1,$L247,0)</f>
        <v>0</v>
      </c>
      <c r="AU247" s="411">
        <f>IF($K247=1,$M247,0)</f>
        <v>0</v>
      </c>
      <c r="AV247" s="411">
        <f>IF($K247=1,$N247,0)</f>
        <v>0</v>
      </c>
      <c r="AW247" s="411">
        <f>IF($K247=1,$O247,0)</f>
        <v>0</v>
      </c>
      <c r="AX247" s="411">
        <f>IF($K247=1,$P247,0)</f>
        <v>0</v>
      </c>
      <c r="AY247" s="406">
        <f>IF($K247=2,$D247,0)</f>
        <v>0</v>
      </c>
      <c r="AZ247" s="411">
        <f>IF($K247=2,$L247,0)</f>
        <v>0</v>
      </c>
      <c r="BA247" s="411">
        <f>IF($K247=2,$M247,0)</f>
        <v>0</v>
      </c>
      <c r="BB247" s="411">
        <f>IF($K247=2,$N247,0)</f>
        <v>0</v>
      </c>
      <c r="BC247" s="411">
        <f>IF($K247=2,$O247,0)</f>
        <v>0</v>
      </c>
      <c r="BD247" s="411">
        <f>IF($K247=2,$P247,0)</f>
        <v>0</v>
      </c>
      <c r="BE247" s="406">
        <f>IF($K247=3,$D247,0)</f>
        <v>0</v>
      </c>
      <c r="BF247" s="411">
        <f>IF($K247=3,$L247,0)</f>
        <v>0</v>
      </c>
      <c r="BG247" s="411">
        <f>IF($K247=3,$M247,0)</f>
        <v>0</v>
      </c>
      <c r="BH247" s="411">
        <f>IF($K247=3,$N247,0)</f>
        <v>0</v>
      </c>
      <c r="BI247" s="411">
        <f>IF($K247=3,$O247,0)</f>
        <v>0</v>
      </c>
      <c r="BJ247" s="412">
        <f>IF($K247=3,$P247,0)</f>
        <v>0</v>
      </c>
      <c r="CH247" s="1455"/>
    </row>
    <row r="248" spans="2:86" ht="12" customHeight="1">
      <c r="B248" s="101" t="s">
        <v>906</v>
      </c>
      <c r="C248" s="92"/>
      <c r="D248" s="2259"/>
      <c r="E248" s="624">
        <v>0</v>
      </c>
      <c r="F248" s="1250">
        <v>0</v>
      </c>
      <c r="G248" s="625">
        <v>1.9</v>
      </c>
      <c r="H248" s="625">
        <v>8.6</v>
      </c>
      <c r="I248" s="626">
        <v>0.7</v>
      </c>
      <c r="J248" s="1366"/>
      <c r="K248" s="1367"/>
      <c r="L248" s="2264" t="str">
        <f t="shared" si="132"/>
        <v/>
      </c>
      <c r="M248" s="2265" t="str">
        <f t="shared" si="132"/>
        <v/>
      </c>
      <c r="N248" s="2265" t="str">
        <f t="shared" si="132"/>
        <v/>
      </c>
      <c r="O248" s="2265" t="str">
        <f t="shared" si="132"/>
        <v/>
      </c>
      <c r="P248" s="2266" t="str">
        <f t="shared" si="132"/>
        <v/>
      </c>
      <c r="Q248" s="301">
        <f>IF(AND(D248&gt;0,SUM(E248:I248)&gt;0,SUM(J248:K248)&lt;1),"Grube / Stock fehlt",IF(COUNTIF(J246:K246,"&gt;3")&gt;0,"Grube-/Stocknummer falsch",))</f>
        <v>0</v>
      </c>
      <c r="R248" s="4"/>
      <c r="AA248" s="406">
        <f>IF($J248=1,$D248,0)</f>
        <v>0</v>
      </c>
      <c r="AB248" s="411">
        <f>IF($J248=1,$L248,0)</f>
        <v>0</v>
      </c>
      <c r="AC248" s="411">
        <f>IF($J248=1,$M248,0)</f>
        <v>0</v>
      </c>
      <c r="AD248" s="411">
        <f>IF($J248=1,$N248,0)</f>
        <v>0</v>
      </c>
      <c r="AE248" s="411">
        <f>IF($J248=1,$O248,0)</f>
        <v>0</v>
      </c>
      <c r="AF248" s="411">
        <f>IF($J248=1,$P248,0)</f>
        <v>0</v>
      </c>
      <c r="AG248" s="406">
        <f>IF($J248=2,$D248,0)</f>
        <v>0</v>
      </c>
      <c r="AH248" s="411">
        <f>IF($J248=2,$L248,0)</f>
        <v>0</v>
      </c>
      <c r="AI248" s="411">
        <f>IF($J248=2,$M248,0)</f>
        <v>0</v>
      </c>
      <c r="AJ248" s="411">
        <f>IF($J248=2,$N248,0)</f>
        <v>0</v>
      </c>
      <c r="AK248" s="411">
        <f>IF($J248=2,$O248,0)</f>
        <v>0</v>
      </c>
      <c r="AL248" s="411">
        <f>IF($J248=2,$P248,0)</f>
        <v>0</v>
      </c>
      <c r="AM248" s="406">
        <f>IF($J248=3,$D248,0)</f>
        <v>0</v>
      </c>
      <c r="AN248" s="411">
        <f>IF($J248=3,$L248,0)</f>
        <v>0</v>
      </c>
      <c r="AO248" s="411">
        <f>IF($J248=3,$M248,0)</f>
        <v>0</v>
      </c>
      <c r="AP248" s="411">
        <f>IF($J248=3,$N248,0)</f>
        <v>0</v>
      </c>
      <c r="AQ248" s="411">
        <f>IF($J248=3,$O248,0)</f>
        <v>0</v>
      </c>
      <c r="AR248" s="411">
        <f>IF($J248=3,$P248,0)</f>
        <v>0</v>
      </c>
      <c r="AS248" s="406">
        <f>IF($K248=1,$D248,0)</f>
        <v>0</v>
      </c>
      <c r="AT248" s="411">
        <f>IF($K248=1,$L248,0)</f>
        <v>0</v>
      </c>
      <c r="AU248" s="411">
        <f>IF($K248=1,$M248,0)</f>
        <v>0</v>
      </c>
      <c r="AV248" s="411">
        <f>IF($K248=1,$N248,0)</f>
        <v>0</v>
      </c>
      <c r="AW248" s="411">
        <f>IF($K248=1,$O248,0)</f>
        <v>0</v>
      </c>
      <c r="AX248" s="411">
        <f>IF($K248=1,$P248,0)</f>
        <v>0</v>
      </c>
      <c r="AY248" s="406">
        <f>IF($K248=2,$D248,0)</f>
        <v>0</v>
      </c>
      <c r="AZ248" s="411">
        <f>IF($K248=2,$L248,0)</f>
        <v>0</v>
      </c>
      <c r="BA248" s="411">
        <f>IF($K248=2,$M248,0)</f>
        <v>0</v>
      </c>
      <c r="BB248" s="411">
        <f>IF($K248=2,$N248,0)</f>
        <v>0</v>
      </c>
      <c r="BC248" s="411">
        <f>IF($K248=2,$O248,0)</f>
        <v>0</v>
      </c>
      <c r="BD248" s="411">
        <f>IF($K248=2,$P248,0)</f>
        <v>0</v>
      </c>
      <c r="BE248" s="406">
        <f>IF($K248=3,$D248,0)</f>
        <v>0</v>
      </c>
      <c r="BF248" s="411">
        <f>IF($K248=3,$L248,0)</f>
        <v>0</v>
      </c>
      <c r="BG248" s="411">
        <f>IF($K248=3,$M248,0)</f>
        <v>0</v>
      </c>
      <c r="BH248" s="411">
        <f>IF($K248=3,$N248,0)</f>
        <v>0</v>
      </c>
      <c r="BI248" s="411">
        <f>IF($K248=3,$O248,0)</f>
        <v>0</v>
      </c>
      <c r="BJ248" s="412">
        <f>IF($K248=3,$P248,0)</f>
        <v>0</v>
      </c>
      <c r="CH248" s="1455"/>
    </row>
    <row r="249" spans="2:86" ht="12" customHeight="1">
      <c r="B249" s="101" t="s">
        <v>906</v>
      </c>
      <c r="C249" s="92"/>
      <c r="D249" s="2259"/>
      <c r="E249" s="624">
        <v>0</v>
      </c>
      <c r="F249" s="1250">
        <f>IF(ISNUMBER(E249),E249*H$154,"")</f>
        <v>0</v>
      </c>
      <c r="G249" s="625">
        <v>1.9</v>
      </c>
      <c r="H249" s="625">
        <v>8.6</v>
      </c>
      <c r="I249" s="626">
        <v>0.7</v>
      </c>
      <c r="J249" s="1366"/>
      <c r="K249" s="1367"/>
      <c r="L249" s="2264" t="str">
        <f t="shared" si="132"/>
        <v/>
      </c>
      <c r="M249" s="2265" t="str">
        <f t="shared" si="132"/>
        <v/>
      </c>
      <c r="N249" s="2265" t="str">
        <f t="shared" si="132"/>
        <v/>
      </c>
      <c r="O249" s="2265" t="str">
        <f t="shared" si="132"/>
        <v/>
      </c>
      <c r="P249" s="2266" t="str">
        <f t="shared" si="132"/>
        <v/>
      </c>
      <c r="Q249" s="301">
        <f>IF(AND(D249&gt;0,SUM(E249:I249)&gt;0,SUM(J249:K249)&lt;1),"Grube / Stock fehlt",IF(COUNTIF(J247:K247,"&gt;3")&gt;0,"Grube-/Stocknummer falsch",))</f>
        <v>0</v>
      </c>
      <c r="R249" s="4"/>
      <c r="AA249" s="406">
        <f>IF($J249=1,$D249,0)</f>
        <v>0</v>
      </c>
      <c r="AB249" s="411">
        <f>IF($J249=1,$L249,0)</f>
        <v>0</v>
      </c>
      <c r="AC249" s="411">
        <f>IF($J249=1,$M249,0)</f>
        <v>0</v>
      </c>
      <c r="AD249" s="411">
        <f>IF($J249=1,$N249,0)</f>
        <v>0</v>
      </c>
      <c r="AE249" s="411">
        <f>IF($J249=1,$O249,0)</f>
        <v>0</v>
      </c>
      <c r="AF249" s="411">
        <f>IF($J249=1,$P249,0)</f>
        <v>0</v>
      </c>
      <c r="AG249" s="406">
        <f>IF($J249=2,$D249,0)</f>
        <v>0</v>
      </c>
      <c r="AH249" s="411">
        <f>IF($J249=2,$L249,0)</f>
        <v>0</v>
      </c>
      <c r="AI249" s="411">
        <f>IF($J249=2,$M249,0)</f>
        <v>0</v>
      </c>
      <c r="AJ249" s="411">
        <f>IF($J249=2,$N249,0)</f>
        <v>0</v>
      </c>
      <c r="AK249" s="411">
        <f>IF($J249=2,$O249,0)</f>
        <v>0</v>
      </c>
      <c r="AL249" s="411">
        <f>IF($J249=2,$P249,0)</f>
        <v>0</v>
      </c>
      <c r="AM249" s="406">
        <f>IF($J249=3,$D249,0)</f>
        <v>0</v>
      </c>
      <c r="AN249" s="411">
        <f>IF($J249=3,$L249,0)</f>
        <v>0</v>
      </c>
      <c r="AO249" s="411">
        <f>IF($J249=3,$M249,0)</f>
        <v>0</v>
      </c>
      <c r="AP249" s="411">
        <f>IF($J249=3,$N249,0)</f>
        <v>0</v>
      </c>
      <c r="AQ249" s="411">
        <f>IF($J249=3,$O249,0)</f>
        <v>0</v>
      </c>
      <c r="AR249" s="411">
        <f>IF($J249=3,$P249,0)</f>
        <v>0</v>
      </c>
      <c r="AS249" s="406">
        <f>IF($K249=1,$D249,0)</f>
        <v>0</v>
      </c>
      <c r="AT249" s="411">
        <f>IF($K249=1,$L249,0)</f>
        <v>0</v>
      </c>
      <c r="AU249" s="411">
        <f>IF($K249=1,$M249,0)</f>
        <v>0</v>
      </c>
      <c r="AV249" s="411">
        <f>IF($K249=1,$N249,0)</f>
        <v>0</v>
      </c>
      <c r="AW249" s="411">
        <f>IF($K249=1,$O249,0)</f>
        <v>0</v>
      </c>
      <c r="AX249" s="411">
        <f>IF($K249=1,$P249,0)</f>
        <v>0</v>
      </c>
      <c r="AY249" s="406">
        <f>IF($K249=2,$D249,0)</f>
        <v>0</v>
      </c>
      <c r="AZ249" s="411">
        <f>IF($K249=2,$L249,0)</f>
        <v>0</v>
      </c>
      <c r="BA249" s="411">
        <f>IF($K249=2,$M249,0)</f>
        <v>0</v>
      </c>
      <c r="BB249" s="411">
        <f>IF($K249=2,$N249,0)</f>
        <v>0</v>
      </c>
      <c r="BC249" s="411">
        <f>IF($K249=2,$O249,0)</f>
        <v>0</v>
      </c>
      <c r="BD249" s="411">
        <f>IF($K249=2,$P249,0)</f>
        <v>0</v>
      </c>
      <c r="BE249" s="406">
        <f>IF($K249=3,$D249,0)</f>
        <v>0</v>
      </c>
      <c r="BF249" s="411">
        <f>IF($K249=3,$L249,0)</f>
        <v>0</v>
      </c>
      <c r="BG249" s="411">
        <f>IF($K249=3,$M249,0)</f>
        <v>0</v>
      </c>
      <c r="BH249" s="411">
        <f>IF($K249=3,$N249,0)</f>
        <v>0</v>
      </c>
      <c r="BI249" s="411">
        <f>IF($K249=3,$O249,0)</f>
        <v>0</v>
      </c>
      <c r="BJ249" s="412">
        <f>IF($K249=3,$P249,0)</f>
        <v>0</v>
      </c>
      <c r="CC249" s="1122"/>
      <c r="CH249" s="1455"/>
    </row>
    <row r="250" spans="2:86" ht="12" customHeight="1">
      <c r="B250" s="101"/>
      <c r="C250" s="92"/>
      <c r="D250" s="2259"/>
      <c r="E250" s="624"/>
      <c r="F250" s="1250" t="str">
        <f>IF(ISNUMBER(E250),E250*H$154,"")</f>
        <v/>
      </c>
      <c r="G250" s="625"/>
      <c r="H250" s="625"/>
      <c r="I250" s="626"/>
      <c r="J250" s="1368"/>
      <c r="K250" s="1369"/>
      <c r="L250" s="2264" t="str">
        <f t="shared" si="132"/>
        <v/>
      </c>
      <c r="M250" s="2265" t="str">
        <f t="shared" si="132"/>
        <v/>
      </c>
      <c r="N250" s="2265" t="str">
        <f t="shared" si="132"/>
        <v/>
      </c>
      <c r="O250" s="2265" t="str">
        <f t="shared" si="132"/>
        <v/>
      </c>
      <c r="P250" s="2266" t="str">
        <f t="shared" si="132"/>
        <v/>
      </c>
      <c r="Q250" s="301">
        <f>IF(AND(D250&gt;0,SUM(E250:I250)&gt;0,SUM(J250:K250)&lt;1),"Grube / Stock fehlt",IF(COUNTIF(J248:K248,"&gt;3")&gt;0,"Grube-/Stocknummer falsch",))</f>
        <v>0</v>
      </c>
      <c r="R250" s="4"/>
      <c r="AA250" s="406">
        <f>IF($J250=1,$D250,0)</f>
        <v>0</v>
      </c>
      <c r="AB250" s="411">
        <f>IF($J250=1,$L250,0)</f>
        <v>0</v>
      </c>
      <c r="AC250" s="411">
        <f>IF($J250=1,$M250,0)</f>
        <v>0</v>
      </c>
      <c r="AD250" s="411">
        <f>IF($J250=1,$N250,0)</f>
        <v>0</v>
      </c>
      <c r="AE250" s="411">
        <f>IF($J250=1,$O250,0)</f>
        <v>0</v>
      </c>
      <c r="AF250" s="411">
        <f>IF($J250=1,$P250,0)</f>
        <v>0</v>
      </c>
      <c r="AG250" s="406">
        <f>IF($J250=2,$D250,0)</f>
        <v>0</v>
      </c>
      <c r="AH250" s="411">
        <f>IF($J250=2,$L250,0)</f>
        <v>0</v>
      </c>
      <c r="AI250" s="411">
        <f>IF($J250=2,$M250,0)</f>
        <v>0</v>
      </c>
      <c r="AJ250" s="411">
        <f>IF($J250=2,$N250,0)</f>
        <v>0</v>
      </c>
      <c r="AK250" s="411">
        <f>IF($J250=2,$O250,0)</f>
        <v>0</v>
      </c>
      <c r="AL250" s="411">
        <f>IF($J250=2,$P250,0)</f>
        <v>0</v>
      </c>
      <c r="AM250" s="406">
        <f>IF($J250=3,$D250,0)</f>
        <v>0</v>
      </c>
      <c r="AN250" s="411">
        <f>IF($J250=3,$L250,0)</f>
        <v>0</v>
      </c>
      <c r="AO250" s="411">
        <f>IF($J250=3,$M250,0)</f>
        <v>0</v>
      </c>
      <c r="AP250" s="411">
        <f>IF($J250=3,$N250,0)</f>
        <v>0</v>
      </c>
      <c r="AQ250" s="411">
        <f>IF($J250=3,$O250,0)</f>
        <v>0</v>
      </c>
      <c r="AR250" s="411">
        <f>IF($J250=3,$P250,0)</f>
        <v>0</v>
      </c>
      <c r="AS250" s="406">
        <f>IF($K250=1,$D250,0)</f>
        <v>0</v>
      </c>
      <c r="AT250" s="411">
        <f>IF($K250=1,$L250,0)</f>
        <v>0</v>
      </c>
      <c r="AU250" s="411">
        <f>IF($K250=1,$M250,0)</f>
        <v>0</v>
      </c>
      <c r="AV250" s="411">
        <f>IF($K250=1,$N250,0)</f>
        <v>0</v>
      </c>
      <c r="AW250" s="411">
        <f>IF($K250=1,$O250,0)</f>
        <v>0</v>
      </c>
      <c r="AX250" s="411">
        <f>IF($K250=1,$P250,0)</f>
        <v>0</v>
      </c>
      <c r="AY250" s="406">
        <f>IF($K250=2,$D250,0)</f>
        <v>0</v>
      </c>
      <c r="AZ250" s="411">
        <f>IF($K250=2,$L250,0)</f>
        <v>0</v>
      </c>
      <c r="BA250" s="411">
        <f>IF($K250=2,$M250,0)</f>
        <v>0</v>
      </c>
      <c r="BB250" s="411">
        <f>IF($K250=2,$N250,0)</f>
        <v>0</v>
      </c>
      <c r="BC250" s="411">
        <f>IF($K250=2,$O250,0)</f>
        <v>0</v>
      </c>
      <c r="BD250" s="411">
        <f>IF($K250=2,$P250,0)</f>
        <v>0</v>
      </c>
      <c r="BE250" s="406">
        <f>IF($K250=3,$D250,0)</f>
        <v>0</v>
      </c>
      <c r="BF250" s="411">
        <f>IF($K250=3,$L250,0)</f>
        <v>0</v>
      </c>
      <c r="BG250" s="411">
        <f>IF($K250=3,$M250,0)</f>
        <v>0</v>
      </c>
      <c r="BH250" s="411">
        <f>IF($K250=3,$N250,0)</f>
        <v>0</v>
      </c>
      <c r="BI250" s="411">
        <f>IF($K250=3,$O250,0)</f>
        <v>0</v>
      </c>
      <c r="BJ250" s="412">
        <f>IF($K250=3,$P250,0)</f>
        <v>0</v>
      </c>
      <c r="CH250" s="1455"/>
    </row>
    <row r="251" spans="2:86" ht="12" customHeight="1" thickBot="1">
      <c r="B251" s="102"/>
      <c r="C251" s="96"/>
      <c r="D251" s="2260"/>
      <c r="E251" s="627"/>
      <c r="F251" s="1251" t="str">
        <f>IF(ISNUMBER(E251),E251*H$154,"")</f>
        <v/>
      </c>
      <c r="G251" s="628"/>
      <c r="H251" s="628"/>
      <c r="I251" s="629"/>
      <c r="J251" s="1366"/>
      <c r="K251" s="1367"/>
      <c r="L251" s="2267" t="str">
        <f t="shared" si="132"/>
        <v/>
      </c>
      <c r="M251" s="2268" t="str">
        <f t="shared" si="132"/>
        <v/>
      </c>
      <c r="N251" s="2268" t="str">
        <f t="shared" si="132"/>
        <v/>
      </c>
      <c r="O251" s="2268" t="str">
        <f t="shared" si="132"/>
        <v/>
      </c>
      <c r="P251" s="2269" t="str">
        <f t="shared" si="132"/>
        <v/>
      </c>
      <c r="Q251" s="301">
        <f>IF(AND(D251&gt;0,SUM(E251:I251)&gt;0,SUM(J251:K251)&lt;1),"Grube / Stock fehlt",IF(COUNTIF(J249:K249,"&gt;3")&gt;0,"Grube-/Stocknummer falsch",))</f>
        <v>0</v>
      </c>
      <c r="R251" s="4"/>
      <c r="AA251" s="413">
        <f>IF($J251=1,$D251,0)</f>
        <v>0</v>
      </c>
      <c r="AB251" s="414">
        <f>IF($J251=1,$L251,0)</f>
        <v>0</v>
      </c>
      <c r="AC251" s="414">
        <f>IF($J251=1,$M251,0)</f>
        <v>0</v>
      </c>
      <c r="AD251" s="414">
        <f>IF($J251=1,$N251,0)</f>
        <v>0</v>
      </c>
      <c r="AE251" s="414">
        <f>IF($J251=1,$O251,0)</f>
        <v>0</v>
      </c>
      <c r="AF251" s="414">
        <f>IF($J251=1,$P251,0)</f>
        <v>0</v>
      </c>
      <c r="AG251" s="413">
        <f>IF($J251=2,$D251,0)</f>
        <v>0</v>
      </c>
      <c r="AH251" s="414">
        <f>IF($J251=2,$L251,0)</f>
        <v>0</v>
      </c>
      <c r="AI251" s="414">
        <f>IF($J251=2,$M251,0)</f>
        <v>0</v>
      </c>
      <c r="AJ251" s="414">
        <f>IF($J251=2,$N251,0)</f>
        <v>0</v>
      </c>
      <c r="AK251" s="414">
        <f>IF($J251=2,$O251,0)</f>
        <v>0</v>
      </c>
      <c r="AL251" s="414">
        <f>IF($J251=2,$P251,0)</f>
        <v>0</v>
      </c>
      <c r="AM251" s="413">
        <f>IF($J251=3,$D251,0)</f>
        <v>0</v>
      </c>
      <c r="AN251" s="414">
        <f>IF($J251=3,$L251,0)</f>
        <v>0</v>
      </c>
      <c r="AO251" s="414">
        <f>IF($J251=3,$M251,0)</f>
        <v>0</v>
      </c>
      <c r="AP251" s="414">
        <f>IF($J251=3,$N251,0)</f>
        <v>0</v>
      </c>
      <c r="AQ251" s="414">
        <f>IF($J251=3,$O251,0)</f>
        <v>0</v>
      </c>
      <c r="AR251" s="414">
        <f>IF($J251=3,$P251,0)</f>
        <v>0</v>
      </c>
      <c r="AS251" s="413">
        <f>IF($K251=1,$D251,0)</f>
        <v>0</v>
      </c>
      <c r="AT251" s="414">
        <f>IF($K251=1,$L251,0)</f>
        <v>0</v>
      </c>
      <c r="AU251" s="414">
        <f>IF($K251=1,$M251,0)</f>
        <v>0</v>
      </c>
      <c r="AV251" s="414">
        <f>IF($K251=1,$N251,0)</f>
        <v>0</v>
      </c>
      <c r="AW251" s="414">
        <f>IF($K251=1,$O251,0)</f>
        <v>0</v>
      </c>
      <c r="AX251" s="414">
        <f>IF($K251=1,$P251,0)</f>
        <v>0</v>
      </c>
      <c r="AY251" s="413">
        <f>IF($K251=2,$D251,0)</f>
        <v>0</v>
      </c>
      <c r="AZ251" s="414">
        <f>IF($K251=2,$L251,0)</f>
        <v>0</v>
      </c>
      <c r="BA251" s="414">
        <f>IF($K251=2,$M251,0)</f>
        <v>0</v>
      </c>
      <c r="BB251" s="414">
        <f>IF($K251=2,$N251,0)</f>
        <v>0</v>
      </c>
      <c r="BC251" s="414">
        <f>IF($K251=2,$O251,0)</f>
        <v>0</v>
      </c>
      <c r="BD251" s="414">
        <f>IF($K251=2,$P251,0)</f>
        <v>0</v>
      </c>
      <c r="BE251" s="413">
        <f>IF($K251=3,$D251,0)</f>
        <v>0</v>
      </c>
      <c r="BF251" s="414">
        <f>IF($K251=3,$L251,0)</f>
        <v>0</v>
      </c>
      <c r="BG251" s="414">
        <f>IF($K251=3,$M251,0)</f>
        <v>0</v>
      </c>
      <c r="BH251" s="414">
        <f>IF($K251=3,$N251,0)</f>
        <v>0</v>
      </c>
      <c r="BI251" s="414">
        <f>IF($K251=3,$O251,0)</f>
        <v>0</v>
      </c>
      <c r="BJ251" s="415">
        <f>IF($K251=3,$P251,0)</f>
        <v>0</v>
      </c>
      <c r="CH251" s="1455"/>
    </row>
    <row r="252" spans="2:86" ht="20.100000000000001" customHeight="1" thickBot="1">
      <c r="B252" s="4"/>
      <c r="C252" s="4"/>
      <c r="D252" s="4"/>
      <c r="E252" s="306"/>
      <c r="F252" s="306"/>
      <c r="G252" s="306"/>
      <c r="H252" s="306"/>
      <c r="I252" s="306"/>
      <c r="J252" s="630" t="str">
        <f>IF(OR(AND(J247&gt;0,K247&gt;0),AND(J248&gt;0,K248&gt;0), AND(J249&gt;0,K249&gt;0), AND(J250&gt;0,K250&gt;0), AND(J251&gt;0,K251&gt;0)), "entweder Güllengrube  oder  Mist angeben !", "" )</f>
        <v/>
      </c>
      <c r="K252" s="306"/>
      <c r="L252" s="2270">
        <f>SUM(L247:L251)</f>
        <v>0</v>
      </c>
      <c r="M252" s="2270">
        <f>SUM(M247:M251)</f>
        <v>0</v>
      </c>
      <c r="N252" s="2270">
        <f>SUM(N247:N251)</f>
        <v>0</v>
      </c>
      <c r="O252" s="2270">
        <f>SUM(O247:O251)</f>
        <v>0</v>
      </c>
      <c r="P252" s="2270">
        <f>SUM(P247:P251)</f>
        <v>0</v>
      </c>
      <c r="Q252" s="4"/>
      <c r="Z252" s="1252" t="s">
        <v>907</v>
      </c>
      <c r="AA252" s="416">
        <f t="shared" ref="AA252:BJ252" si="133">SUM(AA225:AA240)+SUM(AA247:AA251)</f>
        <v>0</v>
      </c>
      <c r="AB252" s="417">
        <f t="shared" si="133"/>
        <v>0</v>
      </c>
      <c r="AC252" s="418">
        <f t="shared" si="133"/>
        <v>0</v>
      </c>
      <c r="AD252" s="418">
        <f t="shared" si="133"/>
        <v>0</v>
      </c>
      <c r="AE252" s="418">
        <f t="shared" si="133"/>
        <v>0</v>
      </c>
      <c r="AF252" s="418">
        <f t="shared" si="133"/>
        <v>0</v>
      </c>
      <c r="AG252" s="416">
        <f t="shared" si="133"/>
        <v>0</v>
      </c>
      <c r="AH252" s="417">
        <f t="shared" si="133"/>
        <v>0</v>
      </c>
      <c r="AI252" s="418">
        <f t="shared" si="133"/>
        <v>0</v>
      </c>
      <c r="AJ252" s="418">
        <f t="shared" si="133"/>
        <v>0</v>
      </c>
      <c r="AK252" s="418">
        <f t="shared" si="133"/>
        <v>0</v>
      </c>
      <c r="AL252" s="418">
        <f t="shared" si="133"/>
        <v>0</v>
      </c>
      <c r="AM252" s="416">
        <f t="shared" si="133"/>
        <v>0</v>
      </c>
      <c r="AN252" s="417">
        <f t="shared" si="133"/>
        <v>0</v>
      </c>
      <c r="AO252" s="418">
        <f t="shared" si="133"/>
        <v>0</v>
      </c>
      <c r="AP252" s="418">
        <f t="shared" si="133"/>
        <v>0</v>
      </c>
      <c r="AQ252" s="418">
        <f t="shared" si="133"/>
        <v>0</v>
      </c>
      <c r="AR252" s="418">
        <f t="shared" si="133"/>
        <v>0</v>
      </c>
      <c r="AS252" s="416">
        <f t="shared" si="133"/>
        <v>0</v>
      </c>
      <c r="AT252" s="417">
        <f t="shared" si="133"/>
        <v>0</v>
      </c>
      <c r="AU252" s="418">
        <f t="shared" si="133"/>
        <v>0</v>
      </c>
      <c r="AV252" s="418">
        <f t="shared" si="133"/>
        <v>0</v>
      </c>
      <c r="AW252" s="418">
        <f t="shared" si="133"/>
        <v>0</v>
      </c>
      <c r="AX252" s="418">
        <f t="shared" si="133"/>
        <v>0</v>
      </c>
      <c r="AY252" s="416">
        <f t="shared" si="133"/>
        <v>0</v>
      </c>
      <c r="AZ252" s="417">
        <f t="shared" si="133"/>
        <v>0</v>
      </c>
      <c r="BA252" s="418">
        <f t="shared" si="133"/>
        <v>0</v>
      </c>
      <c r="BB252" s="418">
        <f t="shared" si="133"/>
        <v>0</v>
      </c>
      <c r="BC252" s="418">
        <f t="shared" si="133"/>
        <v>0</v>
      </c>
      <c r="BD252" s="418">
        <f t="shared" si="133"/>
        <v>0</v>
      </c>
      <c r="BE252" s="416">
        <f t="shared" si="133"/>
        <v>0</v>
      </c>
      <c r="BF252" s="417">
        <f t="shared" si="133"/>
        <v>0</v>
      </c>
      <c r="BG252" s="418">
        <f t="shared" si="133"/>
        <v>0</v>
      </c>
      <c r="BH252" s="418">
        <f t="shared" si="133"/>
        <v>0</v>
      </c>
      <c r="BI252" s="418">
        <f t="shared" si="133"/>
        <v>0</v>
      </c>
      <c r="BJ252" s="419">
        <f t="shared" si="133"/>
        <v>0</v>
      </c>
      <c r="CH252" s="1455"/>
    </row>
    <row r="253" spans="2:86" ht="16.5" customHeight="1" thickBot="1">
      <c r="B253" s="1211" t="s">
        <v>908</v>
      </c>
      <c r="C253" s="1219"/>
      <c r="D253" s="1219"/>
      <c r="E253" s="1219"/>
      <c r="F253" s="1219"/>
      <c r="G253" s="1219"/>
      <c r="H253" s="1219"/>
      <c r="I253" s="1220"/>
      <c r="J253" s="1221"/>
      <c r="K253" s="4"/>
      <c r="L253" s="306"/>
      <c r="M253" s="320"/>
      <c r="N253" s="320"/>
      <c r="O253" s="320"/>
      <c r="P253" s="320"/>
      <c r="R253" s="4"/>
      <c r="AA253" s="420" t="s">
        <v>870</v>
      </c>
      <c r="AB253" s="421"/>
      <c r="AC253" s="422"/>
      <c r="AD253" s="422"/>
      <c r="AE253" s="422"/>
      <c r="AF253" s="423"/>
      <c r="AG253" s="420" t="s">
        <v>871</v>
      </c>
      <c r="AH253" s="421"/>
      <c r="AI253" s="422"/>
      <c r="AJ253" s="422"/>
      <c r="AK253" s="422"/>
      <c r="AL253" s="423"/>
      <c r="AM253" s="420" t="s">
        <v>872</v>
      </c>
      <c r="AN253" s="421"/>
      <c r="AO253" s="421"/>
      <c r="AP253" s="421"/>
      <c r="AQ253" s="421"/>
      <c r="AR253" s="424"/>
      <c r="AS253" s="420" t="s">
        <v>873</v>
      </c>
      <c r="AT253" s="421"/>
      <c r="AU253" s="422"/>
      <c r="AV253" s="422"/>
      <c r="AW253" s="422"/>
      <c r="AX253" s="423"/>
      <c r="AY253" s="420" t="s">
        <v>874</v>
      </c>
      <c r="AZ253" s="421"/>
      <c r="BA253" s="422"/>
      <c r="BB253" s="422"/>
      <c r="BC253" s="422"/>
      <c r="BD253" s="423"/>
      <c r="BE253" s="420" t="s">
        <v>875</v>
      </c>
      <c r="BF253" s="421"/>
      <c r="BG253" s="422"/>
      <c r="BH253" s="422"/>
      <c r="BI253" s="422"/>
      <c r="BJ253" s="423"/>
      <c r="CH253" s="1455"/>
    </row>
    <row r="254" spans="2:86" ht="4.5" customHeight="1" thickBot="1">
      <c r="B254" s="52"/>
      <c r="C254" s="52"/>
      <c r="D254" s="4"/>
      <c r="E254" s="52"/>
      <c r="F254" s="52"/>
      <c r="G254" s="4"/>
      <c r="H254" s="52"/>
      <c r="I254" s="52"/>
      <c r="J254" s="52"/>
      <c r="K254" s="10"/>
      <c r="L254" s="332"/>
      <c r="M254" s="320"/>
      <c r="N254" s="320"/>
      <c r="O254" s="320"/>
      <c r="P254" s="320"/>
      <c r="R254" s="4"/>
      <c r="CH254" s="1455"/>
    </row>
    <row r="255" spans="2:86" ht="15" customHeight="1" thickTop="1">
      <c r="B255" s="10"/>
      <c r="C255" s="176" t="s">
        <v>59</v>
      </c>
      <c r="D255" s="177" t="s">
        <v>909</v>
      </c>
      <c r="E255" s="1377" t="s">
        <v>910</v>
      </c>
      <c r="F255" s="1380"/>
      <c r="G255" s="84" t="s">
        <v>911</v>
      </c>
      <c r="H255" s="157"/>
      <c r="I255" s="85"/>
      <c r="J255" s="86"/>
      <c r="K255" s="87"/>
      <c r="L255" s="455" t="s">
        <v>896</v>
      </c>
      <c r="M255" s="450"/>
      <c r="N255" s="451"/>
      <c r="O255" s="452"/>
      <c r="P255" s="453"/>
      <c r="Q255" s="6"/>
      <c r="R255" s="4"/>
      <c r="S255" s="4"/>
      <c r="T255" s="4"/>
      <c r="U255" s="4"/>
      <c r="V255" s="4"/>
      <c r="W255" s="4"/>
      <c r="Z255" s="1461" t="s">
        <v>54</v>
      </c>
      <c r="AA255" s="306"/>
      <c r="BH255" s="306"/>
      <c r="BI255" s="306"/>
      <c r="BJ255" s="306"/>
      <c r="BK255" s="1459" t="s">
        <v>1424</v>
      </c>
      <c r="CH255" s="1455"/>
    </row>
    <row r="256" spans="2:86" ht="15" customHeight="1">
      <c r="B256" s="10"/>
      <c r="C256" s="178" t="s">
        <v>912</v>
      </c>
      <c r="D256" s="179" t="s">
        <v>913</v>
      </c>
      <c r="E256" s="1378" t="s">
        <v>914</v>
      </c>
      <c r="F256" s="1381" t="s">
        <v>915</v>
      </c>
      <c r="G256" s="83" t="s">
        <v>916</v>
      </c>
      <c r="H256" s="158"/>
      <c r="I256" s="53"/>
      <c r="J256" s="54"/>
      <c r="K256" s="88"/>
      <c r="L256" s="456" t="s">
        <v>917</v>
      </c>
      <c r="M256" s="457"/>
      <c r="N256" s="458"/>
      <c r="O256" s="459"/>
      <c r="P256" s="460"/>
      <c r="Q256" s="6"/>
      <c r="R256" s="4"/>
      <c r="S256" s="4"/>
      <c r="T256" s="4"/>
      <c r="U256" s="4"/>
      <c r="V256" s="4"/>
      <c r="W256" s="4"/>
      <c r="X256" s="4"/>
      <c r="Y256" s="4"/>
      <c r="Z256" s="4"/>
      <c r="AA256" s="306"/>
      <c r="AB256" s="306"/>
      <c r="AC256" s="306"/>
      <c r="AD256" s="306"/>
      <c r="AE256" s="306"/>
      <c r="AF256" s="306"/>
      <c r="AG256" s="306"/>
      <c r="AH256" s="306"/>
      <c r="AI256" s="306"/>
      <c r="AJ256" s="306"/>
      <c r="AK256" s="306"/>
      <c r="AL256" s="306"/>
      <c r="AM256" s="306"/>
      <c r="AN256" s="306"/>
      <c r="AO256" s="306"/>
      <c r="AP256" s="306"/>
      <c r="AQ256" s="306"/>
      <c r="AR256" s="306"/>
      <c r="AS256" s="306"/>
      <c r="AT256" s="306"/>
      <c r="AU256" s="306"/>
      <c r="AV256" s="306"/>
      <c r="AW256" s="306"/>
      <c r="AX256" s="306"/>
      <c r="AY256" s="306"/>
      <c r="AZ256" s="306"/>
      <c r="BA256" s="306"/>
      <c r="BB256" s="306"/>
      <c r="BC256" s="306"/>
      <c r="BD256" s="306"/>
      <c r="BE256" s="306"/>
      <c r="BF256" s="306"/>
      <c r="BG256" s="306"/>
      <c r="CH256" s="1455"/>
    </row>
    <row r="257" spans="1:86" s="306" customFormat="1" ht="15" customHeight="1">
      <c r="A257" s="5"/>
      <c r="B257" s="516" t="s">
        <v>918</v>
      </c>
      <c r="C257" s="175" t="s">
        <v>919</v>
      </c>
      <c r="D257" s="175" t="s">
        <v>919</v>
      </c>
      <c r="E257" s="1379" t="s">
        <v>920</v>
      </c>
      <c r="F257" s="1382" t="s">
        <v>921</v>
      </c>
      <c r="G257" s="89" t="s">
        <v>922</v>
      </c>
      <c r="H257" s="1370" t="s">
        <v>923</v>
      </c>
      <c r="I257" s="67" t="s">
        <v>924</v>
      </c>
      <c r="J257" s="67" t="s">
        <v>925</v>
      </c>
      <c r="K257" s="90" t="s">
        <v>64</v>
      </c>
      <c r="L257" s="461" t="s">
        <v>91</v>
      </c>
      <c r="M257" s="462" t="s">
        <v>700</v>
      </c>
      <c r="N257" s="462" t="s">
        <v>585</v>
      </c>
      <c r="O257" s="462" t="s">
        <v>123</v>
      </c>
      <c r="P257" s="463" t="s">
        <v>64</v>
      </c>
      <c r="Q257" s="24"/>
      <c r="R257" s="4"/>
      <c r="S257" s="5"/>
      <c r="T257" s="5"/>
      <c r="U257" s="5"/>
      <c r="V257" s="5"/>
      <c r="W257" s="5"/>
      <c r="X257" s="4"/>
      <c r="Y257" s="4"/>
      <c r="Z257" s="4"/>
      <c r="BH257" s="320"/>
      <c r="BI257" s="320"/>
      <c r="BJ257" s="320"/>
      <c r="BK257" s="320"/>
      <c r="BL257" s="1108"/>
      <c r="BM257" s="597"/>
      <c r="BN257" s="597"/>
      <c r="BO257" s="597"/>
      <c r="BP257" s="597"/>
      <c r="BQ257" s="1123"/>
      <c r="BR257" s="1108"/>
      <c r="BS257" s="1108"/>
      <c r="BT257" s="1108"/>
      <c r="BU257" s="1108"/>
      <c r="BV257" s="1108"/>
      <c r="BW257" s="1108"/>
      <c r="BX257" s="1108"/>
      <c r="BY257" s="1108"/>
      <c r="BZ257" s="1108"/>
      <c r="CA257" s="597"/>
      <c r="CB257" s="597"/>
      <c r="CC257" s="597"/>
      <c r="CD257" s="597"/>
      <c r="CE257" s="597"/>
      <c r="CF257" s="597"/>
      <c r="CG257" s="597"/>
      <c r="CH257" s="1468"/>
    </row>
    <row r="258" spans="1:86" ht="15.95" customHeight="1">
      <c r="A258" s="4"/>
      <c r="B258" s="609" t="str">
        <f>"1) "&amp;H217</f>
        <v xml:space="preserve">1) </v>
      </c>
      <c r="C258" s="2280">
        <f>AA252</f>
        <v>0</v>
      </c>
      <c r="D258" s="2281" t="str">
        <f>IF(C258=0, "",E258-C258)</f>
        <v/>
      </c>
      <c r="E258" s="2282"/>
      <c r="F258" s="1383" t="str">
        <f>IF(AA252=0, "","1: " &amp; FIXED((D258/C258),2))</f>
        <v/>
      </c>
      <c r="G258" s="611" t="str">
        <f>IF($E$258=0,"",AB252/$E$258)</f>
        <v/>
      </c>
      <c r="H258" s="1371" t="str">
        <f>IF($E$258=0,"",AC252/$E$258)</f>
        <v/>
      </c>
      <c r="I258" s="611" t="str">
        <f>IF($E$258=0,"",AD252/$E$258)</f>
        <v/>
      </c>
      <c r="J258" s="611" t="str">
        <f>IF($E$258=0,"",AE252/$E$258)</f>
        <v/>
      </c>
      <c r="K258" s="612" t="str">
        <f>IF($E$258=0,"",AF252/$E$258)</f>
        <v/>
      </c>
      <c r="L258" s="2271">
        <f>AB252</f>
        <v>0</v>
      </c>
      <c r="M258" s="2272">
        <f>AC252</f>
        <v>0</v>
      </c>
      <c r="N258" s="2272">
        <f>AD252</f>
        <v>0</v>
      </c>
      <c r="O258" s="2272">
        <f>AE252</f>
        <v>0</v>
      </c>
      <c r="P258" s="2273">
        <f>AF252</f>
        <v>0</v>
      </c>
      <c r="Q258" s="272"/>
      <c r="R258" s="4"/>
      <c r="AA258" s="511" t="s">
        <v>1200</v>
      </c>
      <c r="CH258" s="1455"/>
    </row>
    <row r="259" spans="1:86" ht="15.95" customHeight="1">
      <c r="A259" s="4"/>
      <c r="B259" s="609" t="str">
        <f>"2) "&amp;H218</f>
        <v xml:space="preserve">2) </v>
      </c>
      <c r="C259" s="2280">
        <f>AG252</f>
        <v>0</v>
      </c>
      <c r="D259" s="2281" t="str">
        <f>IF(C259=0, "",E259-C259)</f>
        <v/>
      </c>
      <c r="E259" s="2283"/>
      <c r="F259" s="1384" t="str">
        <f>IF(AG252=0,"", "1: "&amp;FIXED((D259/C259),2))</f>
        <v/>
      </c>
      <c r="G259" s="611" t="str">
        <f>IF($E$259=0,"",AH252/$E$259)</f>
        <v/>
      </c>
      <c r="H259" s="1371" t="str">
        <f>IF($E$259=0,"",AI252/$E$259)</f>
        <v/>
      </c>
      <c r="I259" s="611" t="str">
        <f>IF($E$259=0,"",AJ252/$E$259)</f>
        <v/>
      </c>
      <c r="J259" s="611" t="str">
        <f>IF($E$259=0,"",AK252/$E$259)</f>
        <v/>
      </c>
      <c r="K259" s="612" t="str">
        <f>IF($E$259=0,"",AL252/$E$259)</f>
        <v/>
      </c>
      <c r="L259" s="2274">
        <f>AH252</f>
        <v>0</v>
      </c>
      <c r="M259" s="2275">
        <f>AI252</f>
        <v>0</v>
      </c>
      <c r="N259" s="2275">
        <f>AJ252</f>
        <v>0</v>
      </c>
      <c r="O259" s="2275">
        <f>AK252</f>
        <v>0</v>
      </c>
      <c r="P259" s="2276">
        <f>AL252</f>
        <v>0</v>
      </c>
      <c r="Q259" s="272"/>
      <c r="R259" s="4"/>
      <c r="CH259" s="1455"/>
    </row>
    <row r="260" spans="1:86" ht="15.95" customHeight="1" thickBot="1">
      <c r="B260" s="609" t="str">
        <f>"3) "&amp;H219</f>
        <v xml:space="preserve">3) </v>
      </c>
      <c r="C260" s="2280">
        <f>AM252</f>
        <v>0</v>
      </c>
      <c r="D260" s="2281" t="str">
        <f>IF(C260=0, "",E260-C260)</f>
        <v/>
      </c>
      <c r="E260" s="2284"/>
      <c r="F260" s="1385" t="str">
        <f>IF(AM252=0,"","1: "&amp;FIXED((D260/C260),2))</f>
        <v/>
      </c>
      <c r="G260" s="613" t="str">
        <f>IF($E$260=0,"",AN252/$E$260)</f>
        <v/>
      </c>
      <c r="H260" s="1372" t="str">
        <f>IF($E$260=0,"",AO252/$E$260)</f>
        <v/>
      </c>
      <c r="I260" s="613" t="str">
        <f>IF($E$260=0,"",AP252/$E$260)</f>
        <v/>
      </c>
      <c r="J260" s="613" t="str">
        <f>IF($E$260=0,"",AQ252/$E$260)</f>
        <v/>
      </c>
      <c r="K260" s="614" t="str">
        <f>IF($E$260=0,"",AR252/$E$260)</f>
        <v/>
      </c>
      <c r="L260" s="2277">
        <f>AN252</f>
        <v>0</v>
      </c>
      <c r="M260" s="2278">
        <f>AO252</f>
        <v>0</v>
      </c>
      <c r="N260" s="2278">
        <f>AP252</f>
        <v>0</v>
      </c>
      <c r="O260" s="2278">
        <f>AQ252</f>
        <v>0</v>
      </c>
      <c r="P260" s="2279">
        <f>AR252</f>
        <v>0</v>
      </c>
      <c r="Q260" s="272"/>
      <c r="R260" s="4"/>
      <c r="AA260" s="512"/>
      <c r="CH260" s="1455"/>
    </row>
    <row r="261" spans="1:86" ht="21.75" customHeight="1" thickTop="1" thickBot="1">
      <c r="A261" s="519" t="s">
        <v>1198</v>
      </c>
      <c r="B261" s="79"/>
      <c r="C261" s="159"/>
      <c r="D261" s="160"/>
      <c r="E261" s="160"/>
      <c r="F261" s="160"/>
      <c r="G261" s="615"/>
      <c r="H261" s="615"/>
      <c r="I261" s="615"/>
      <c r="J261" s="615"/>
      <c r="K261" s="615"/>
      <c r="L261" s="464"/>
      <c r="M261" s="464"/>
      <c r="N261" s="464"/>
      <c r="O261" s="464"/>
      <c r="P261" s="464"/>
      <c r="Q261" s="272"/>
      <c r="R261" s="4"/>
      <c r="AA261" s="512" t="s">
        <v>1066</v>
      </c>
      <c r="CH261" s="1455"/>
    </row>
    <row r="262" spans="1:86" ht="15" thickTop="1" thickBot="1">
      <c r="A262" s="520" t="s">
        <v>1199</v>
      </c>
      <c r="B262" s="517" t="s">
        <v>926</v>
      </c>
      <c r="C262" s="53"/>
      <c r="D262" s="510" t="s">
        <v>1210</v>
      </c>
      <c r="E262" s="3545" t="s">
        <v>1292</v>
      </c>
      <c r="F262" s="3546"/>
      <c r="G262" s="465"/>
      <c r="H262" s="616"/>
      <c r="I262" s="616"/>
      <c r="J262" s="616"/>
      <c r="K262" s="306"/>
      <c r="L262" s="465"/>
      <c r="M262" s="320"/>
      <c r="N262" s="466"/>
      <c r="O262" s="425"/>
      <c r="P262" s="320"/>
      <c r="Q262" s="272"/>
      <c r="R262" s="4"/>
      <c r="AA262" s="512" t="s">
        <v>1067</v>
      </c>
      <c r="CH262" s="1455"/>
    </row>
    <row r="263" spans="1:86" ht="15.95" customHeight="1">
      <c r="A263" s="521" t="str">
        <f>IF(N263&gt;0,ROUND(AS252,0)&amp;" To","")</f>
        <v/>
      </c>
      <c r="B263" s="610" t="str">
        <f>"1) "&amp;N217</f>
        <v xml:space="preserve">1) </v>
      </c>
      <c r="C263" s="631"/>
      <c r="D263" s="1376" t="s">
        <v>892</v>
      </c>
      <c r="E263" s="2285"/>
      <c r="F263" s="1374"/>
      <c r="G263" s="617" t="str">
        <f>IF($E263=0,"",AT$252/$E263)</f>
        <v/>
      </c>
      <c r="H263" s="1373" t="str">
        <f>IF($E263=0,"",AU$252/$E263)</f>
        <v/>
      </c>
      <c r="I263" s="617" t="str">
        <f>IF($E263=0,"",AV$252/$E263)</f>
        <v/>
      </c>
      <c r="J263" s="617" t="str">
        <f>IF($E263=0,"",AW$252/$E263)</f>
        <v/>
      </c>
      <c r="K263" s="618" t="str">
        <f>IF($E263=0,"",AX$252/$E263)</f>
        <v/>
      </c>
      <c r="L263" s="2271">
        <f>AT252</f>
        <v>0</v>
      </c>
      <c r="M263" s="2272">
        <f>AU252</f>
        <v>0</v>
      </c>
      <c r="N263" s="2272">
        <f>AV252</f>
        <v>0</v>
      </c>
      <c r="O263" s="2272">
        <f>AW252</f>
        <v>0</v>
      </c>
      <c r="P263" s="2273">
        <f>AX252</f>
        <v>0</v>
      </c>
      <c r="Q263" s="272"/>
      <c r="R263" s="4"/>
      <c r="AA263" s="512" t="s">
        <v>1072</v>
      </c>
      <c r="CH263" s="1455"/>
    </row>
    <row r="264" spans="1:86" ht="15.95" customHeight="1">
      <c r="A264" s="521" t="str">
        <f>IF(N264&gt;0,ROUND(AY252,0)&amp;" To","")</f>
        <v/>
      </c>
      <c r="B264" s="610" t="str">
        <f>"2) "&amp;N218</f>
        <v xml:space="preserve">2) </v>
      </c>
      <c r="C264" s="631"/>
      <c r="D264" s="1376" t="s">
        <v>892</v>
      </c>
      <c r="E264" s="2286"/>
      <c r="F264" s="1374"/>
      <c r="G264" s="611" t="str">
        <f>IF($E264=0,"",AZ252/$E264)</f>
        <v/>
      </c>
      <c r="H264" s="1371" t="str">
        <f>IF($E264=0,"",BA252/$E264)</f>
        <v/>
      </c>
      <c r="I264" s="611" t="str">
        <f>IF($E264=0,"",BB252/$E264)</f>
        <v/>
      </c>
      <c r="J264" s="611" t="str">
        <f>IF($E264=0,"",BC252/$E264)</f>
        <v/>
      </c>
      <c r="K264" s="612" t="str">
        <f>IF($E264=0,"",BD252/$E264)</f>
        <v/>
      </c>
      <c r="L264" s="2274">
        <f xml:space="preserve"> AZ252</f>
        <v>0</v>
      </c>
      <c r="M264" s="2275">
        <f xml:space="preserve"> BA252</f>
        <v>0</v>
      </c>
      <c r="N264" s="2275">
        <f xml:space="preserve"> BB252</f>
        <v>0</v>
      </c>
      <c r="O264" s="2275">
        <f>BC252</f>
        <v>0</v>
      </c>
      <c r="P264" s="2276">
        <f>BD252</f>
        <v>0</v>
      </c>
      <c r="Q264" s="272"/>
      <c r="AA264" s="512" t="s">
        <v>1074</v>
      </c>
      <c r="CH264" s="1455"/>
    </row>
    <row r="265" spans="1:86" ht="15.95" customHeight="1" thickBot="1">
      <c r="A265" s="522" t="str">
        <f>IF(N265&gt;0,ROUND(BE252,0)&amp;" To","")</f>
        <v/>
      </c>
      <c r="B265" s="610" t="str">
        <f>"3) "&amp;N219</f>
        <v xml:space="preserve">3) </v>
      </c>
      <c r="C265" s="631"/>
      <c r="D265" s="1376" t="s">
        <v>892</v>
      </c>
      <c r="E265" s="2287"/>
      <c r="F265" s="1375"/>
      <c r="G265" s="613" t="str">
        <f>IF($E265=0,"",BF$252/$E265)</f>
        <v/>
      </c>
      <c r="H265" s="1372" t="str">
        <f>IF($E265=0,"",BG$252/$E265)</f>
        <v/>
      </c>
      <c r="I265" s="613" t="str">
        <f>IF($E265=0,"",BH$252/$E265)</f>
        <v/>
      </c>
      <c r="J265" s="613" t="str">
        <f>IF($E265=0,"",BI$252/$E265)</f>
        <v/>
      </c>
      <c r="K265" s="614" t="str">
        <f>IF($E265=0,"",BJ$252/$E265)</f>
        <v/>
      </c>
      <c r="L265" s="2277">
        <f xml:space="preserve"> BF252</f>
        <v>0</v>
      </c>
      <c r="M265" s="2278">
        <f>BG252</f>
        <v>0</v>
      </c>
      <c r="N265" s="2278">
        <f>BH252</f>
        <v>0</v>
      </c>
      <c r="O265" s="2278">
        <f>BI252</f>
        <v>0</v>
      </c>
      <c r="P265" s="2279">
        <f>BJ252</f>
        <v>0</v>
      </c>
      <c r="Q265" s="272"/>
      <c r="AA265" s="512" t="s">
        <v>1073</v>
      </c>
      <c r="CH265" s="1455"/>
    </row>
    <row r="266" spans="1:86" ht="14.25" thickTop="1">
      <c r="E266" s="508" t="str">
        <f>IF(OR(AND(N263=0,E263=0),AND(N263&gt;0,E263&gt;0)),"",IF(AND(N263=0,E263&gt;0),"Mistmenge Stock 1 zu hoch !"," Geben Sie die Mistmenge von Stock 1 ein !"))&amp;IF(OR(AND(N264=0,E264=0),AND(N264&gt;0,E264&gt;0)),"",IF(AND(N264=0,E264&gt;0),"Mistmenge Stock 2 zu hoch !"," Geben Sie die Mistmenge von Stock 2 ein !"))&amp;IF(OR(AND(N265=0,E265=0),AND(N265&gt;0,E265&gt;0)),"",IF(AND(N265=0,E265&gt;0),"Mistmenge Stock 3 zu hoch !"," Geben Sie die Mistmenge von Stock 3 ein !"))</f>
        <v/>
      </c>
      <c r="L266" s="306"/>
      <c r="M266" s="320"/>
      <c r="N266" s="320"/>
      <c r="Q266" s="115"/>
      <c r="R266" s="4"/>
      <c r="AA266" s="512"/>
      <c r="CH266" s="1455"/>
    </row>
    <row r="267" spans="1:86" ht="13.5">
      <c r="A267" s="5" t="s">
        <v>156</v>
      </c>
      <c r="L267" s="44"/>
      <c r="O267" s="303">
        <f>IF(ABS(SUM(N258:N260,N263:N265)-SUM(N247:N251,N241))&gt;5,"Es sind nicht alle Nährstoffe auf die Gruben und Stöcke verteilt. Bitte Code, Gruben und Stöcke überprüfen!",)</f>
        <v>0</v>
      </c>
      <c r="P267" s="302"/>
      <c r="R267" s="4"/>
      <c r="Z267" s="1461" t="s">
        <v>1430</v>
      </c>
      <c r="AK267" s="306"/>
      <c r="BK267" s="1459" t="s">
        <v>1424</v>
      </c>
      <c r="BL267" s="1117"/>
      <c r="CH267" s="1455"/>
    </row>
    <row r="268" spans="1:86" ht="11.1" customHeight="1">
      <c r="L268" s="44"/>
      <c r="M268" s="44"/>
      <c r="N268" s="44"/>
      <c r="O268" s="44"/>
      <c r="P268" s="509"/>
      <c r="Q268" s="272"/>
      <c r="R268" s="4"/>
      <c r="CH268" s="1455"/>
    </row>
    <row r="269" spans="1:86" ht="11.1" customHeight="1">
      <c r="L269" s="44"/>
      <c r="M269" s="44"/>
      <c r="N269" s="44"/>
      <c r="O269" s="44"/>
      <c r="P269" s="44"/>
      <c r="Q269" s="272"/>
      <c r="CH269" s="1455"/>
    </row>
    <row r="270" spans="1:86" ht="11.1" customHeight="1">
      <c r="L270" s="44"/>
      <c r="M270" s="44"/>
      <c r="N270" s="44"/>
      <c r="O270" s="44"/>
      <c r="P270" s="44"/>
      <c r="Q270" s="272"/>
      <c r="CH270" s="1455"/>
    </row>
    <row r="271" spans="1:86" ht="11.1" customHeight="1">
      <c r="J271" s="4"/>
      <c r="K271" s="4"/>
      <c r="L271" s="4"/>
      <c r="M271" s="44"/>
      <c r="N271" s="4"/>
      <c r="O271" s="4"/>
      <c r="P271" s="4"/>
      <c r="Q271" s="4"/>
      <c r="CH271" s="1455"/>
    </row>
    <row r="272" spans="1:86" ht="11.1" customHeight="1">
      <c r="K272" s="106"/>
      <c r="L272" s="44"/>
      <c r="M272" s="44"/>
      <c r="N272" s="44"/>
      <c r="O272" s="44"/>
      <c r="P272" s="44"/>
      <c r="Q272" s="44"/>
      <c r="CH272" s="1455"/>
    </row>
    <row r="273" spans="1:86" ht="11.1" customHeight="1">
      <c r="K273" s="106"/>
      <c r="L273" s="44"/>
      <c r="Q273" s="44"/>
      <c r="CH273" s="1455"/>
    </row>
    <row r="274" spans="1:86" ht="11.1" customHeight="1">
      <c r="K274" s="106"/>
      <c r="L274" s="44"/>
      <c r="N274" s="44"/>
      <c r="O274" s="44"/>
      <c r="P274" s="44"/>
      <c r="Q274" s="44"/>
      <c r="CH274" s="1455"/>
    </row>
    <row r="275" spans="1:86" ht="11.1" customHeight="1">
      <c r="K275" s="106"/>
      <c r="L275" s="44"/>
      <c r="N275" s="44"/>
      <c r="O275" s="44"/>
      <c r="P275" s="44"/>
      <c r="Q275" s="44"/>
      <c r="R275" s="4"/>
      <c r="CH275" s="1455"/>
    </row>
    <row r="276" spans="1:86" ht="11.1" customHeight="1">
      <c r="K276" s="106"/>
      <c r="L276" s="44"/>
      <c r="N276" s="44"/>
      <c r="O276" s="44"/>
      <c r="P276" s="44"/>
      <c r="Q276" s="4"/>
      <c r="CH276" s="1455"/>
    </row>
    <row r="277" spans="1:86">
      <c r="A277" s="1461" t="s">
        <v>1430</v>
      </c>
      <c r="B277" s="1461" t="s">
        <v>1430</v>
      </c>
      <c r="C277" s="1461" t="s">
        <v>1430</v>
      </c>
      <c r="D277" s="1461" t="s">
        <v>1430</v>
      </c>
      <c r="E277" s="1461" t="s">
        <v>1430</v>
      </c>
      <c r="F277" s="1461" t="s">
        <v>1430</v>
      </c>
      <c r="G277" s="1461" t="s">
        <v>1430</v>
      </c>
      <c r="H277" s="1461" t="s">
        <v>1430</v>
      </c>
      <c r="I277" s="1461" t="s">
        <v>1430</v>
      </c>
      <c r="J277" s="1461" t="s">
        <v>1430</v>
      </c>
      <c r="K277" s="1461" t="s">
        <v>1430</v>
      </c>
      <c r="L277" s="1461" t="s">
        <v>1430</v>
      </c>
      <c r="M277" s="1461" t="s">
        <v>1430</v>
      </c>
      <c r="N277" s="1461" t="s">
        <v>1430</v>
      </c>
      <c r="O277" s="1461" t="s">
        <v>1430</v>
      </c>
      <c r="P277" s="1461" t="s">
        <v>1430</v>
      </c>
      <c r="Q277" s="1461" t="s">
        <v>1430</v>
      </c>
      <c r="R277" s="1461" t="s">
        <v>1430</v>
      </c>
      <c r="S277" s="1461" t="s">
        <v>1430</v>
      </c>
      <c r="T277" s="1461" t="s">
        <v>1430</v>
      </c>
      <c r="U277" s="1461"/>
      <c r="V277" s="1461"/>
      <c r="W277" s="1461"/>
      <c r="X277" s="1461" t="s">
        <v>1430</v>
      </c>
      <c r="Y277" s="1461"/>
      <c r="Z277" s="1461" t="s">
        <v>54</v>
      </c>
      <c r="AA277" s="1461" t="s">
        <v>54</v>
      </c>
      <c r="AB277" s="1461" t="s">
        <v>1430</v>
      </c>
      <c r="AC277" s="1461" t="s">
        <v>1430</v>
      </c>
      <c r="AD277" s="1461" t="s">
        <v>1430</v>
      </c>
      <c r="AE277" s="1461" t="s">
        <v>1430</v>
      </c>
      <c r="AF277" s="1461" t="s">
        <v>1430</v>
      </c>
      <c r="AG277" s="1461" t="s">
        <v>1430</v>
      </c>
      <c r="AH277" s="1461" t="s">
        <v>1430</v>
      </c>
      <c r="AI277" s="1461" t="s">
        <v>1430</v>
      </c>
      <c r="AJ277" s="1461" t="s">
        <v>1430</v>
      </c>
      <c r="AK277" s="1461" t="s">
        <v>1430</v>
      </c>
      <c r="AL277" s="1461" t="s">
        <v>1430</v>
      </c>
      <c r="AM277" s="1461" t="s">
        <v>1430</v>
      </c>
      <c r="AN277" s="1461" t="s">
        <v>1430</v>
      </c>
      <c r="AO277" s="1461" t="s">
        <v>1430</v>
      </c>
      <c r="AP277" s="1461" t="s">
        <v>1430</v>
      </c>
      <c r="AQ277" s="1461" t="s">
        <v>1430</v>
      </c>
      <c r="AR277" s="1461" t="s">
        <v>1430</v>
      </c>
      <c r="AS277" s="1461" t="s">
        <v>1430</v>
      </c>
      <c r="AT277" s="1461" t="s">
        <v>1430</v>
      </c>
      <c r="AU277" s="1461" t="s">
        <v>1430</v>
      </c>
      <c r="AV277" s="1461" t="s">
        <v>1430</v>
      </c>
      <c r="AW277" s="1461" t="s">
        <v>1430</v>
      </c>
      <c r="AX277" s="1461" t="s">
        <v>1430</v>
      </c>
      <c r="AY277" s="1461" t="s">
        <v>1430</v>
      </c>
      <c r="AZ277" s="1461" t="s">
        <v>1430</v>
      </c>
      <c r="BA277" s="1461" t="s">
        <v>1430</v>
      </c>
      <c r="BB277" s="1461" t="s">
        <v>1430</v>
      </c>
      <c r="BC277" s="1461" t="s">
        <v>1430</v>
      </c>
      <c r="BD277" s="1461" t="s">
        <v>1430</v>
      </c>
      <c r="BE277" s="1461" t="s">
        <v>1430</v>
      </c>
      <c r="BF277" s="1461" t="s">
        <v>1430</v>
      </c>
      <c r="BG277" s="1461" t="s">
        <v>1430</v>
      </c>
      <c r="BH277" s="1461" t="s">
        <v>1430</v>
      </c>
      <c r="BI277" s="1461" t="s">
        <v>1430</v>
      </c>
      <c r="BJ277" s="1461" t="s">
        <v>1430</v>
      </c>
      <c r="BK277" s="1461" t="s">
        <v>1430</v>
      </c>
      <c r="BL277" s="1461" t="s">
        <v>1430</v>
      </c>
      <c r="BM277" s="1461" t="s">
        <v>1430</v>
      </c>
      <c r="BN277" s="1461" t="s">
        <v>1430</v>
      </c>
      <c r="BO277" s="1461" t="s">
        <v>1430</v>
      </c>
      <c r="BP277" s="1461" t="s">
        <v>1430</v>
      </c>
      <c r="BQ277" s="1461" t="s">
        <v>1430</v>
      </c>
      <c r="BR277" s="1461" t="s">
        <v>1430</v>
      </c>
      <c r="BS277" s="1461" t="s">
        <v>1430</v>
      </c>
      <c r="BT277" s="1461" t="s">
        <v>1430</v>
      </c>
      <c r="BU277" s="1461" t="s">
        <v>1430</v>
      </c>
      <c r="BV277" s="1459" t="s">
        <v>1430</v>
      </c>
      <c r="BW277" s="1461" t="s">
        <v>1430</v>
      </c>
      <c r="BX277" s="1461" t="s">
        <v>1430</v>
      </c>
      <c r="BY277" s="1461" t="s">
        <v>1430</v>
      </c>
      <c r="BZ277" s="1461" t="s">
        <v>1430</v>
      </c>
      <c r="CA277" s="1461" t="s">
        <v>1430</v>
      </c>
      <c r="CB277" s="1461" t="s">
        <v>1430</v>
      </c>
      <c r="CC277" s="1461" t="s">
        <v>1430</v>
      </c>
      <c r="CD277" s="1461" t="s">
        <v>1430</v>
      </c>
      <c r="CE277" s="1461" t="s">
        <v>1430</v>
      </c>
      <c r="CF277" s="1461" t="s">
        <v>1430</v>
      </c>
      <c r="CG277" s="1461" t="s">
        <v>1430</v>
      </c>
      <c r="CH277" s="1459" t="s">
        <v>1424</v>
      </c>
    </row>
  </sheetData>
  <sheetProtection algorithmName="SHA-512" hashValue="ChyMiZFgzzriTYJFWPOckTZm1o3dbzX43qMzjRQZIh+3jNGccvEhwumCZSTRgL9ZDc9JDyQYbHTswCWeAvYFyg==" saltValue="vF5wopTGTJmYXhAYIqs2sg==" spinCount="100000" sheet="1" objects="1" scenarios="1"/>
  <mergeCells count="94">
    <mergeCell ref="AM16:AS16"/>
    <mergeCell ref="B2:R2"/>
    <mergeCell ref="C9:H9"/>
    <mergeCell ref="C11:R12"/>
    <mergeCell ref="AZ15:BB15"/>
    <mergeCell ref="AO2:AU2"/>
    <mergeCell ref="AO3:AU3"/>
    <mergeCell ref="G7:H7"/>
    <mergeCell ref="K8:L8"/>
    <mergeCell ref="C8:H8"/>
    <mergeCell ref="AO4:AU4"/>
    <mergeCell ref="O8:P8"/>
    <mergeCell ref="K7:L7"/>
    <mergeCell ref="T9:Y10"/>
    <mergeCell ref="B31:E31"/>
    <mergeCell ref="B32:E32"/>
    <mergeCell ref="B30:E30"/>
    <mergeCell ref="O9:R9"/>
    <mergeCell ref="A15:A17"/>
    <mergeCell ref="B33:E33"/>
    <mergeCell ref="B52:C52"/>
    <mergeCell ref="B51:C51"/>
    <mergeCell ref="C190:E190"/>
    <mergeCell ref="F217:G217"/>
    <mergeCell ref="C191:E191"/>
    <mergeCell ref="B49:C49"/>
    <mergeCell ref="B50:C50"/>
    <mergeCell ref="D128:E128"/>
    <mergeCell ref="B119:E119"/>
    <mergeCell ref="B95:E95"/>
    <mergeCell ref="B34:E34"/>
    <mergeCell ref="B134:E134"/>
    <mergeCell ref="B141:E141"/>
    <mergeCell ref="AK35:AR35"/>
    <mergeCell ref="C192:E192"/>
    <mergeCell ref="L217:M217"/>
    <mergeCell ref="H217:J217"/>
    <mergeCell ref="BT219:BX219"/>
    <mergeCell ref="BQ219:BS219"/>
    <mergeCell ref="BO219:BP219"/>
    <mergeCell ref="F216:G216"/>
    <mergeCell ref="H216:J216"/>
    <mergeCell ref="L219:M219"/>
    <mergeCell ref="E262:F262"/>
    <mergeCell ref="F219:G219"/>
    <mergeCell ref="N218:P218"/>
    <mergeCell ref="N216:P216"/>
    <mergeCell ref="F218:G218"/>
    <mergeCell ref="N219:P219"/>
    <mergeCell ref="H219:J219"/>
    <mergeCell ref="H218:J218"/>
    <mergeCell ref="L218:M218"/>
    <mergeCell ref="BU44:BV44"/>
    <mergeCell ref="J49:L49"/>
    <mergeCell ref="J50:L50"/>
    <mergeCell ref="N217:P217"/>
    <mergeCell ref="L216:M216"/>
    <mergeCell ref="AA55:AO56"/>
    <mergeCell ref="AA167:AK168"/>
    <mergeCell ref="AA164:AJ165"/>
    <mergeCell ref="AA172:AD172"/>
    <mergeCell ref="AF172:AJ172"/>
    <mergeCell ref="N177:O177"/>
    <mergeCell ref="A173:T173"/>
    <mergeCell ref="C189:E189"/>
    <mergeCell ref="B96:E96"/>
    <mergeCell ref="C188:E188"/>
    <mergeCell ref="H186:I186"/>
    <mergeCell ref="B54:C54"/>
    <mergeCell ref="B92:E92"/>
    <mergeCell ref="B90:E90"/>
    <mergeCell ref="B100:E100"/>
    <mergeCell ref="B128:C128"/>
    <mergeCell ref="B102:E102"/>
    <mergeCell ref="B99:E99"/>
    <mergeCell ref="B91:E91"/>
    <mergeCell ref="B61:E61"/>
    <mergeCell ref="B62:E62"/>
    <mergeCell ref="B46:C46"/>
    <mergeCell ref="B47:C47"/>
    <mergeCell ref="B48:C48"/>
    <mergeCell ref="P176:Q176"/>
    <mergeCell ref="B93:E93"/>
    <mergeCell ref="B103:E103"/>
    <mergeCell ref="B120:E120"/>
    <mergeCell ref="B129:E129"/>
    <mergeCell ref="B121:E121"/>
    <mergeCell ref="B130:E130"/>
    <mergeCell ref="B53:C53"/>
    <mergeCell ref="F117:F118"/>
    <mergeCell ref="Q70:R70"/>
    <mergeCell ref="C127:E127"/>
    <mergeCell ref="B142:E142"/>
    <mergeCell ref="B136:E136"/>
  </mergeCells>
  <phoneticPr fontId="56" type="noConversion"/>
  <conditionalFormatting sqref="J185:K185">
    <cfRule type="cellIs" dxfId="318" priority="296" stopIfTrue="1" operator="greaterThan">
      <formula>J183</formula>
    </cfRule>
  </conditionalFormatting>
  <conditionalFormatting sqref="G20:G21 G27:G28">
    <cfRule type="expression" dxfId="317" priority="304" stopIfTrue="1">
      <formula xml:space="preserve"> ISTEXT(P20)</formula>
    </cfRule>
  </conditionalFormatting>
  <conditionalFormatting sqref="G18:G19 G29:G34">
    <cfRule type="expression" dxfId="316" priority="305" stopIfTrue="1">
      <formula>OR(AND(ISTEXT(P18),P18 &lt;&gt; ""),AND(ISTEXT(Q18),Q18 &lt;&gt; ""))</formula>
    </cfRule>
    <cfRule type="expression" dxfId="315" priority="306" stopIfTrue="1">
      <formula xml:space="preserve"> AND(ISNUMBER(G18),G18&gt;365)</formula>
    </cfRule>
  </conditionalFormatting>
  <conditionalFormatting sqref="H18:H19 H29:H34">
    <cfRule type="cellIs" dxfId="314" priority="307" stopIfTrue="1" operator="greaterThan">
      <formula>24</formula>
    </cfRule>
    <cfRule type="expression" dxfId="313" priority="308" stopIfTrue="1">
      <formula>AND(ISTEXT(Q18),Q18 &lt;&gt; "")</formula>
    </cfRule>
  </conditionalFormatting>
  <conditionalFormatting sqref="I18:I19 I29:I34">
    <cfRule type="cellIs" dxfId="312" priority="309" stopIfTrue="1" operator="greaterThan">
      <formula>365</formula>
    </cfRule>
    <cfRule type="expression" dxfId="311" priority="310" stopIfTrue="1">
      <formula>AND(ISTEXT(Q18),Q18 &lt;&gt; "")</formula>
    </cfRule>
  </conditionalFormatting>
  <conditionalFormatting sqref="M150">
    <cfRule type="expression" dxfId="310" priority="311" stopIfTrue="1">
      <formula>OR(ISBLANK(N150),N150&lt;0,N150&gt;0.1,ISBLANK(O150),O150&lt;0,O150&gt;0.1)</formula>
    </cfRule>
  </conditionalFormatting>
  <conditionalFormatting sqref="F46:F54">
    <cfRule type="expression" dxfId="309" priority="295" stopIfTrue="1">
      <formula xml:space="preserve"> OR(LEFT($F46,2)= "GF",LEFT($F46,2) = "%T")</formula>
    </cfRule>
  </conditionalFormatting>
  <conditionalFormatting sqref="G46:G54">
    <cfRule type="expression" dxfId="308" priority="287" stopIfTrue="1">
      <formula>SUM($BS46:$BV46) &gt; 0</formula>
    </cfRule>
  </conditionalFormatting>
  <conditionalFormatting sqref="G72">
    <cfRule type="expression" dxfId="307" priority="199" stopIfTrue="1">
      <formula xml:space="preserve"> AND(G72&gt;BA72,BC72=0)</formula>
    </cfRule>
    <cfRule type="cellIs" dxfId="306" priority="274" stopIfTrue="1" operator="greaterThan">
      <formula xml:space="preserve"> MAX(BA72,R72)</formula>
    </cfRule>
  </conditionalFormatting>
  <conditionalFormatting sqref="G73">
    <cfRule type="expression" dxfId="305" priority="200" stopIfTrue="1">
      <formula xml:space="preserve"> AND(G73&gt;BA73,BC73=0)</formula>
    </cfRule>
    <cfRule type="cellIs" dxfId="304" priority="273" stopIfTrue="1" operator="greaterThan">
      <formula>MAX(R73,$BA$73)</formula>
    </cfRule>
  </conditionalFormatting>
  <conditionalFormatting sqref="R72:R77">
    <cfRule type="expression" dxfId="303" priority="250" stopIfTrue="1">
      <formula>ISNUMBER(Q72)</formula>
    </cfRule>
  </conditionalFormatting>
  <conditionalFormatting sqref="G61:G62">
    <cfRule type="cellIs" dxfId="302" priority="233" stopIfTrue="1" operator="lessThan">
      <formula xml:space="preserve"> 1.25*G$77</formula>
    </cfRule>
  </conditionalFormatting>
  <conditionalFormatting sqref="G74:G75">
    <cfRule type="expression" dxfId="301" priority="204" stopIfTrue="1">
      <formula xml:space="preserve"> AND(G74&gt;BA74,BC74=0)</formula>
    </cfRule>
    <cfRule type="cellIs" dxfId="300" priority="232" stopIfTrue="1" operator="greaterThan">
      <formula>MAX(R74,BA74)</formula>
    </cfRule>
  </conditionalFormatting>
  <conditionalFormatting sqref="D18:D19">
    <cfRule type="expression" dxfId="299" priority="220" stopIfTrue="1">
      <formula>AND(ISBLANK(D18),ISNUMBER(F18),F18&lt;&gt;0)</formula>
    </cfRule>
  </conditionalFormatting>
  <conditionalFormatting sqref="G76">
    <cfRule type="expression" dxfId="298" priority="202" stopIfTrue="1">
      <formula xml:space="preserve"> AND(G76&gt;BA76,BC76=0)</formula>
    </cfRule>
    <cfRule type="cellIs" dxfId="297" priority="205" stopIfTrue="1" operator="greaterThan">
      <formula xml:space="preserve"> MAX(R76,BA76)</formula>
    </cfRule>
  </conditionalFormatting>
  <conditionalFormatting sqref="G77">
    <cfRule type="expression" dxfId="296" priority="201" stopIfTrue="1">
      <formula xml:space="preserve"> AND(G77&gt;BA77,BC77=0)</formula>
    </cfRule>
  </conditionalFormatting>
  <conditionalFormatting sqref="F90:F93">
    <cfRule type="expression" dxfId="295" priority="194" stopIfTrue="1">
      <formula>OR(B90 = 0, B90 = " -")</formula>
    </cfRule>
  </conditionalFormatting>
  <conditionalFormatting sqref="F95:F96 F99:F100 F102:F103">
    <cfRule type="expression" dxfId="294" priority="192" stopIfTrue="1">
      <formula>OR(B95=0,B95=" -")</formula>
    </cfRule>
  </conditionalFormatting>
  <conditionalFormatting sqref="H90:H93">
    <cfRule type="expression" dxfId="293" priority="323" stopIfTrue="1">
      <formula>OR(B90=0,B90=" -")</formula>
    </cfRule>
    <cfRule type="expression" dxfId="292" priority="324" stopIfTrue="1">
      <formula>AND(BG90 &gt; 0, ISNUMBER(BG90))</formula>
    </cfRule>
  </conditionalFormatting>
  <conditionalFormatting sqref="N188:O188 J188:K195 N183:O185 J183:K184">
    <cfRule type="cellIs" dxfId="291" priority="297" stopIfTrue="1" operator="lessThan">
      <formula>0</formula>
    </cfRule>
  </conditionalFormatting>
  <conditionalFormatting sqref="P169:Q169">
    <cfRule type="expression" dxfId="290" priority="405" stopIfTrue="1">
      <formula>$K$7="BIO"</formula>
    </cfRule>
  </conditionalFormatting>
  <conditionalFormatting sqref="J7">
    <cfRule type="expression" dxfId="289" priority="406" stopIfTrue="1">
      <formula>LEFT($J$7,1)="P"</formula>
    </cfRule>
  </conditionalFormatting>
  <conditionalFormatting sqref="N52:N53">
    <cfRule type="cellIs" dxfId="288" priority="298" stopIfTrue="1" operator="greaterThan">
      <formula>0.05</formula>
    </cfRule>
  </conditionalFormatting>
  <conditionalFormatting sqref="K164">
    <cfRule type="expression" dxfId="287" priority="299" stopIfTrue="1">
      <formula>LEFT(K164,4)=" P-F"</formula>
    </cfRule>
  </conditionalFormatting>
  <conditionalFormatting sqref="H95:H96 H99:H100 H102:H103">
    <cfRule type="expression" dxfId="286" priority="128">
      <formula>OR(B95=0,B95=" -",G95=0,G95="")</formula>
    </cfRule>
    <cfRule type="expression" dxfId="285" priority="300" stopIfTrue="1">
      <formula>AND(BG95&gt;0,ISNUMBER(BG95))</formula>
    </cfRule>
  </conditionalFormatting>
  <conditionalFormatting sqref="O52:O53">
    <cfRule type="cellIs" dxfId="284" priority="301" stopIfTrue="1" operator="equal">
      <formula xml:space="preserve"> "max.5% !"</formula>
    </cfRule>
  </conditionalFormatting>
  <conditionalFormatting sqref="J96 J99:L99 J102:L102 J90:L95">
    <cfRule type="cellIs" dxfId="283" priority="302" stopIfTrue="1" operator="greaterThan">
      <formula>2.5</formula>
    </cfRule>
  </conditionalFormatting>
  <conditionalFormatting sqref="H72:H76 H65:H69 H61:H63">
    <cfRule type="expression" dxfId="282" priority="318" stopIfTrue="1">
      <formula>H61 = "Ertrag?"</formula>
    </cfRule>
  </conditionalFormatting>
  <conditionalFormatting sqref="P18:Q34">
    <cfRule type="expression" dxfId="281" priority="319" stopIfTrue="1">
      <formula xml:space="preserve"> ISTEXT(P18)</formula>
    </cfRule>
  </conditionalFormatting>
  <conditionalFormatting sqref="BS46:BV54 BS56">
    <cfRule type="cellIs" dxfId="280" priority="288" stopIfTrue="1" operator="equal">
      <formula>1</formula>
    </cfRule>
  </conditionalFormatting>
  <conditionalFormatting sqref="Q72:Q77">
    <cfRule type="expression" dxfId="279" priority="261" stopIfTrue="1">
      <formula>ISNUMBER(Q72)</formula>
    </cfRule>
  </conditionalFormatting>
  <conditionalFormatting sqref="S72:W77">
    <cfRule type="containsText" dxfId="278" priority="245" stopIfTrue="1" operator="containsText" text="möglich">
      <formula>NOT(ISERROR(SEARCH("möglich",S72)))</formula>
    </cfRule>
  </conditionalFormatting>
  <conditionalFormatting sqref="P57">
    <cfRule type="containsText" dxfId="277" priority="234" stopIfTrue="1" operator="containsText" text="eintragen">
      <formula>NOT(ISERROR(SEARCH("eintragen",P57)))</formula>
    </cfRule>
  </conditionalFormatting>
  <conditionalFormatting sqref="R71:R77">
    <cfRule type="expression" dxfId="276" priority="269" stopIfTrue="1">
      <formula xml:space="preserve"> SUM($Q$72:$R$77) &gt; 0</formula>
    </cfRule>
  </conditionalFormatting>
  <conditionalFormatting sqref="Q71">
    <cfRule type="containsText" dxfId="275" priority="225" stopIfTrue="1" operator="containsText" text="Wegl">
      <formula>NOT(ISERROR(SEARCH("Wegl",Q71)))</formula>
    </cfRule>
  </conditionalFormatting>
  <conditionalFormatting sqref="R71">
    <cfRule type="containsText" dxfId="274" priority="224" stopIfTrue="1" operator="containsText" text="Ertrags">
      <formula>NOT(ISERROR(SEARCH("Ertrags",R71)))</formula>
    </cfRule>
  </conditionalFormatting>
  <conditionalFormatting sqref="Q57">
    <cfRule type="expression" dxfId="273" priority="223" stopIfTrue="1">
      <formula xml:space="preserve"> AND($H$78=0,$F$78=0,ISBLANK($Q$57))</formula>
    </cfRule>
  </conditionalFormatting>
  <conditionalFormatting sqref="D16">
    <cfRule type="expression" dxfId="272" priority="216" stopIfTrue="1">
      <formula>LEFT(D16,3)="dt "</formula>
    </cfRule>
  </conditionalFormatting>
  <conditionalFormatting sqref="O49:O50">
    <cfRule type="cellIs" dxfId="271" priority="197" stopIfTrue="1" operator="equal">
      <formula>"% TS?"</formula>
    </cfRule>
  </conditionalFormatting>
  <conditionalFormatting sqref="K8:L8">
    <cfRule type="expression" dxfId="270" priority="189" stopIfTrue="1">
      <formula>OR($K$8&gt;2027, $K$8&lt;2026)</formula>
    </cfRule>
  </conditionalFormatting>
  <conditionalFormatting sqref="G90">
    <cfRule type="expression" dxfId="269" priority="187" stopIfTrue="1">
      <formula>G90 &gt; 0</formula>
    </cfRule>
  </conditionalFormatting>
  <conditionalFormatting sqref="G91:G93">
    <cfRule type="expression" dxfId="268" priority="183" stopIfTrue="1">
      <formula>G91&gt;0</formula>
    </cfRule>
  </conditionalFormatting>
  <conditionalFormatting sqref="Z169 AG169:AJ171 AA169:AF173">
    <cfRule type="expression" dxfId="267" priority="376" stopIfTrue="1">
      <formula>$Z$169="BIO"</formula>
    </cfRule>
  </conditionalFormatting>
  <conditionalFormatting sqref="D169 L169">
    <cfRule type="expression" dxfId="266" priority="428" stopIfTrue="1">
      <formula>$K$7="BIO"</formula>
    </cfRule>
  </conditionalFormatting>
  <conditionalFormatting sqref="E169:K169">
    <cfRule type="expression" dxfId="265" priority="429" stopIfTrue="1">
      <formula>$K$7="BIO"</formula>
    </cfRule>
  </conditionalFormatting>
  <conditionalFormatting sqref="M169">
    <cfRule type="expression" dxfId="264" priority="430" stopIfTrue="1">
      <formula>$K$7="BIO"</formula>
    </cfRule>
  </conditionalFormatting>
  <conditionalFormatting sqref="D168:I168">
    <cfRule type="expression" dxfId="263" priority="431" stopIfTrue="1">
      <formula>$K$7="BIO"</formula>
    </cfRule>
  </conditionalFormatting>
  <conditionalFormatting sqref="R167:R168">
    <cfRule type="expression" dxfId="262" priority="432" stopIfTrue="1">
      <formula>$K$7="BIO"</formula>
    </cfRule>
  </conditionalFormatting>
  <conditionalFormatting sqref="R166">
    <cfRule type="expression" dxfId="261" priority="433" stopIfTrue="1">
      <formula>$K$7="BIO"</formula>
    </cfRule>
  </conditionalFormatting>
  <conditionalFormatting sqref="N169">
    <cfRule type="expression" dxfId="260" priority="434" stopIfTrue="1">
      <formula>AND($K$7="BIO",$N$169&gt;$R$169,ISNUMBER($R$169))</formula>
    </cfRule>
    <cfRule type="expression" dxfId="259" priority="435" stopIfTrue="1">
      <formula>$K$7="BIO"</formula>
    </cfRule>
  </conditionalFormatting>
  <conditionalFormatting sqref="O169">
    <cfRule type="expression" dxfId="258" priority="436" stopIfTrue="1">
      <formula>AND($K$7="BIO",$O$169&gt;$R$169,ISNUMBER($R$169))</formula>
    </cfRule>
    <cfRule type="expression" dxfId="257" priority="437" stopIfTrue="1">
      <formula>$K$7="BIO"</formula>
    </cfRule>
  </conditionalFormatting>
  <conditionalFormatting sqref="R169">
    <cfRule type="expression" dxfId="256" priority="438" stopIfTrue="1">
      <formula>AND($K$7="BIO",$R$169&gt;2.5,ISNUMBER($R$169))</formula>
    </cfRule>
    <cfRule type="expression" dxfId="255" priority="439" stopIfTrue="1">
      <formula>$K$7="BIO"</formula>
    </cfRule>
  </conditionalFormatting>
  <conditionalFormatting sqref="G65:G69 G61:G63">
    <cfRule type="expression" dxfId="254" priority="280" stopIfTrue="1">
      <formula>MOD(G61,1)&gt;0</formula>
    </cfRule>
  </conditionalFormatting>
  <conditionalFormatting sqref="H70:H71">
    <cfRule type="expression" dxfId="253" priority="277" stopIfTrue="1">
      <formula xml:space="preserve"> MOD(H70,1)&gt;0</formula>
    </cfRule>
  </conditionalFormatting>
  <conditionalFormatting sqref="G72:G76">
    <cfRule type="expression" dxfId="252" priority="276" stopIfTrue="1">
      <formula xml:space="preserve"> MOD(G72,1)&gt;0</formula>
    </cfRule>
  </conditionalFormatting>
  <conditionalFormatting sqref="D111">
    <cfRule type="expression" dxfId="251" priority="222" stopIfTrue="1">
      <formula>D111=0</formula>
    </cfRule>
  </conditionalFormatting>
  <conditionalFormatting sqref="G125:G130">
    <cfRule type="expression" dxfId="250" priority="215" stopIfTrue="1">
      <formula>MOD(G125,1)&gt;0</formula>
    </cfRule>
  </conditionalFormatting>
  <conditionalFormatting sqref="I129:L130">
    <cfRule type="expression" dxfId="249" priority="214" stopIfTrue="1">
      <formula>MOD(I129,1)&gt;0</formula>
    </cfRule>
  </conditionalFormatting>
  <conditionalFormatting sqref="F18:F34">
    <cfRule type="expression" dxfId="248" priority="206" stopIfTrue="1">
      <formula>MOD(F18*10,1)&gt;0</formula>
    </cfRule>
    <cfRule type="expression" dxfId="247" priority="211" stopIfTrue="1">
      <formula>MOD(F18,1)&gt;0</formula>
    </cfRule>
  </conditionalFormatting>
  <conditionalFormatting sqref="G119:G121">
    <cfRule type="expression" dxfId="246" priority="209" stopIfTrue="1">
      <formula>MOD(G119,1)&gt;0</formula>
    </cfRule>
  </conditionalFormatting>
  <conditionalFormatting sqref="H119:L121">
    <cfRule type="expression" dxfId="245" priority="207" stopIfTrue="1">
      <formula>MOD(H119*10,1)&gt;0</formula>
    </cfRule>
  </conditionalFormatting>
  <conditionalFormatting sqref="H127:L128">
    <cfRule type="expression" dxfId="244" priority="177" stopIfTrue="1">
      <formula>MOD(H127*10,1)&gt;0</formula>
    </cfRule>
  </conditionalFormatting>
  <conditionalFormatting sqref="T146 T143 T138">
    <cfRule type="expression" dxfId="243" priority="170" stopIfTrue="1">
      <formula>AND($T$146&gt;0.5, $K$7 = "BIO",ISNUMBER($T$146))</formula>
    </cfRule>
    <cfRule type="expression" dxfId="242" priority="174" stopIfTrue="1">
      <formula xml:space="preserve"> ISNUMBER($T$146)</formula>
    </cfRule>
  </conditionalFormatting>
  <conditionalFormatting sqref="S119:S121">
    <cfRule type="expression" dxfId="241" priority="64" stopIfTrue="1">
      <formula xml:space="preserve"> AND(K$7="BIO", $S119 = "",SUM($N119:$Q119)&lt;&gt;0 )</formula>
    </cfRule>
    <cfRule type="expression" dxfId="240" priority="168" stopIfTrue="1">
      <formula xml:space="preserve"> K$7="BIO"</formula>
    </cfRule>
  </conditionalFormatting>
  <conditionalFormatting sqref="T125:U125 T119:U123">
    <cfRule type="expression" dxfId="239" priority="167" stopIfTrue="1">
      <formula>ISNUMBER(T119)</formula>
    </cfRule>
  </conditionalFormatting>
  <conditionalFormatting sqref="T125:U125">
    <cfRule type="expression" dxfId="238" priority="70" stopIfTrue="1">
      <formula xml:space="preserve"> AND($M$109&gt;0,T$125&gt;0.5,$K$7="BIO",SUM($N$122:$O$122)&lt;&gt;0)</formula>
    </cfRule>
  </conditionalFormatting>
  <conditionalFormatting sqref="T118">
    <cfRule type="cellIs" dxfId="237" priority="163" stopIfTrue="1" operator="equal">
      <formula xml:space="preserve"> "Nverf"</formula>
    </cfRule>
  </conditionalFormatting>
  <conditionalFormatting sqref="U118:W118">
    <cfRule type="cellIs" dxfId="236" priority="162" stopIfTrue="1" operator="equal">
      <formula xml:space="preserve"> "P2O5"</formula>
    </cfRule>
  </conditionalFormatting>
  <conditionalFormatting sqref="Y125 V125">
    <cfRule type="expression" dxfId="235" priority="160" stopIfTrue="1">
      <formula xml:space="preserve"> OR(AND($T$125&gt;0.5, $T$125&lt;100000),AND($U$125&gt;0.5,$U$125&lt;100000))</formula>
    </cfRule>
  </conditionalFormatting>
  <conditionalFormatting sqref="U162:W162">
    <cfRule type="cellIs" dxfId="234" priority="159" stopIfTrue="1" operator="greaterThan">
      <formula>$O$150</formula>
    </cfRule>
  </conditionalFormatting>
  <conditionalFormatting sqref="T162">
    <cfRule type="expression" dxfId="233" priority="158" stopIfTrue="1">
      <formula xml:space="preserve"> OR($T$162&gt;0.1,$T$162&gt;$J$164)</formula>
    </cfRule>
  </conditionalFormatting>
  <conditionalFormatting sqref="G64">
    <cfRule type="expression" dxfId="232" priority="156" stopIfTrue="1">
      <formula>MOD(G64,1)&gt;0</formula>
    </cfRule>
  </conditionalFormatting>
  <conditionalFormatting sqref="H64">
    <cfRule type="expression" dxfId="231" priority="155" stopIfTrue="1">
      <formula>H64 = "Ertrag?"</formula>
    </cfRule>
  </conditionalFormatting>
  <conditionalFormatting sqref="G136:G137">
    <cfRule type="expression" dxfId="230" priority="154" stopIfTrue="1">
      <formula>MOD(G136,1)&gt;0</formula>
    </cfRule>
  </conditionalFormatting>
  <conditionalFormatting sqref="H136:H137 J136:L137">
    <cfRule type="expression" dxfId="229" priority="153" stopIfTrue="1">
      <formula>MOD(H136*10,1)&gt;0</formula>
    </cfRule>
  </conditionalFormatting>
  <conditionalFormatting sqref="G142">
    <cfRule type="expression" dxfId="228" priority="152" stopIfTrue="1">
      <formula>MOD(G142,1)&gt;0</formula>
    </cfRule>
  </conditionalFormatting>
  <conditionalFormatting sqref="H142:L142">
    <cfRule type="expression" dxfId="227" priority="151" stopIfTrue="1">
      <formula>MOD(H142*10,1)&gt;0</formula>
    </cfRule>
  </conditionalFormatting>
  <conditionalFormatting sqref="G134:G135">
    <cfRule type="expression" dxfId="226" priority="150" stopIfTrue="1">
      <formula>MOD(G134,1)&gt;0</formula>
    </cfRule>
  </conditionalFormatting>
  <conditionalFormatting sqref="H134:H135 J134:L135">
    <cfRule type="expression" dxfId="225" priority="149" stopIfTrue="1">
      <formula>MOD(H134*10,1)&gt;0</formula>
    </cfRule>
  </conditionalFormatting>
  <conditionalFormatting sqref="I134:I135">
    <cfRule type="expression" dxfId="224" priority="148" stopIfTrue="1">
      <formula>MOD(I134*10,1)&gt;0</formula>
    </cfRule>
  </conditionalFormatting>
  <conditionalFormatting sqref="G141">
    <cfRule type="expression" dxfId="223" priority="147" stopIfTrue="1">
      <formula>MOD(G141,1)&gt;0</formula>
    </cfRule>
  </conditionalFormatting>
  <conditionalFormatting sqref="H141:L141">
    <cfRule type="expression" dxfId="222" priority="146" stopIfTrue="1">
      <formula>MOD(H141*10,1)&gt;0</formula>
    </cfRule>
  </conditionalFormatting>
  <conditionalFormatting sqref="W18:W19">
    <cfRule type="cellIs" dxfId="221" priority="130" operator="greaterThanOrEqual">
      <formula>365</formula>
    </cfRule>
    <cfRule type="cellIs" dxfId="220" priority="131" operator="between">
      <formula>-1000000</formula>
      <formula>0</formula>
    </cfRule>
    <cfRule type="expression" dxfId="219" priority="145">
      <formula xml:space="preserve">  AND( U18 = "ja",V18 &gt;0)</formula>
    </cfRule>
  </conditionalFormatting>
  <conditionalFormatting sqref="W17">
    <cfRule type="containsText" dxfId="218" priority="143" operator="containsText" text="Anzahl">
      <formula>NOT(ISERROR(SEARCH("Anzahl",W17)))</formula>
    </cfRule>
  </conditionalFormatting>
  <conditionalFormatting sqref="U18">
    <cfRule type="expression" dxfId="217" priority="142">
      <formula xml:space="preserve"> ISNUMBER(F18)</formula>
    </cfRule>
  </conditionalFormatting>
  <conditionalFormatting sqref="U19">
    <cfRule type="expression" dxfId="216" priority="140">
      <formula xml:space="preserve"> ISNUMBER(F19)</formula>
    </cfRule>
  </conditionalFormatting>
  <conditionalFormatting sqref="V18">
    <cfRule type="expression" dxfId="215" priority="138">
      <formula xml:space="preserve">   U18 = "ja"</formula>
    </cfRule>
  </conditionalFormatting>
  <conditionalFormatting sqref="V19">
    <cfRule type="expression" dxfId="214" priority="137">
      <formula xml:space="preserve">   U19 = "ja"</formula>
    </cfRule>
  </conditionalFormatting>
  <conditionalFormatting sqref="X18:X19">
    <cfRule type="cellIs" dxfId="213" priority="136" operator="between">
      <formula>0</formula>
      <formula>1000000</formula>
    </cfRule>
  </conditionalFormatting>
  <conditionalFormatting sqref="Y18:Y19">
    <cfRule type="cellIs" dxfId="212" priority="135" operator="between">
      <formula>0</formula>
      <formula>1000000</formula>
    </cfRule>
  </conditionalFormatting>
  <conditionalFormatting sqref="Y16">
    <cfRule type="containsText" dxfId="211" priority="134" operator="containsText" text="ohne">
      <formula>NOT(ISERROR(SEARCH("ohne",Y16)))</formula>
    </cfRule>
  </conditionalFormatting>
  <conditionalFormatting sqref="Y17">
    <cfRule type="containsText" dxfId="210" priority="133" operator="containsText" text="Betrieb">
      <formula>NOT(ISERROR(SEARCH("Betrieb",Y17)))</formula>
    </cfRule>
  </conditionalFormatting>
  <conditionalFormatting sqref="V18:V19">
    <cfRule type="cellIs" dxfId="209" priority="132" operator="between">
      <formula>-1000000</formula>
      <formula>0</formula>
    </cfRule>
  </conditionalFormatting>
  <conditionalFormatting sqref="U146 U143 U138">
    <cfRule type="expression" dxfId="208" priority="169" stopIfTrue="1">
      <formula xml:space="preserve"> AND($U$146&gt;0.5,$K$7="BIO",ISNUMBER($U$146))</formula>
    </cfRule>
    <cfRule type="expression" dxfId="207" priority="173" stopIfTrue="1">
      <formula xml:space="preserve"> ISNUMBER($U$146)</formula>
    </cfRule>
  </conditionalFormatting>
  <conditionalFormatting sqref="G102">
    <cfRule type="expression" dxfId="206" priority="129" stopIfTrue="1">
      <formula>G102&gt;0</formula>
    </cfRule>
  </conditionalFormatting>
  <conditionalFormatting sqref="H166">
    <cfRule type="containsText" dxfId="205" priority="127" operator="containsText" text="eingehalten">
      <formula>NOT(ISERROR(SEARCH("eingehalten",H166)))</formula>
    </cfRule>
  </conditionalFormatting>
  <conditionalFormatting sqref="E20">
    <cfRule type="expression" dxfId="204" priority="126">
      <formula xml:space="preserve"> SUM(F18:F19) &gt; 0</formula>
    </cfRule>
  </conditionalFormatting>
  <conditionalFormatting sqref="E35">
    <cfRule type="expression" dxfId="203" priority="125">
      <formula xml:space="preserve"> COUNTIF($B$29:$E$34,"Jungvieh*") &gt;0</formula>
    </cfRule>
  </conditionalFormatting>
  <conditionalFormatting sqref="B18:B19">
    <cfRule type="cellIs" dxfId="202" priority="123" operator="notBetween">
      <formula>3000</formula>
      <formula>18000</formula>
    </cfRule>
  </conditionalFormatting>
  <conditionalFormatting sqref="E29">
    <cfRule type="expression" dxfId="201" priority="118">
      <formula>AND(ISBLANK(E29),$F29&lt;&gt;0)</formula>
    </cfRule>
    <cfRule type="cellIs" dxfId="200" priority="122" operator="notBetween">
      <formula>400</formula>
      <formula>580</formula>
    </cfRule>
  </conditionalFormatting>
  <conditionalFormatting sqref="D29">
    <cfRule type="expression" dxfId="199" priority="119">
      <formula>AND(ISBLANK(D29),$F29&lt;&gt;0)</formula>
    </cfRule>
    <cfRule type="cellIs" dxfId="198" priority="121" operator="notBetween">
      <formula>850</formula>
      <formula>1500</formula>
    </cfRule>
  </conditionalFormatting>
  <conditionalFormatting sqref="L29">
    <cfRule type="containsText" dxfId="197" priority="120" operator="containsText" text="fehlt">
      <formula>NOT(ISERROR(SEARCH("fehlt",L29)))</formula>
    </cfRule>
  </conditionalFormatting>
  <conditionalFormatting sqref="D35">
    <cfRule type="expression" dxfId="196" priority="116">
      <formula>AND(COUNTIF($B$29:$E$34,"Jungvieh*") &gt;0,ISBLANK($E$35) )</formula>
    </cfRule>
    <cfRule type="expression" dxfId="195" priority="117">
      <formula>COUNTIF($B$29:$E$34,"Jungvieh*") &gt;0</formula>
    </cfRule>
  </conditionalFormatting>
  <conditionalFormatting sqref="D20:D21">
    <cfRule type="expression" dxfId="194" priority="115">
      <formula>AND(SUM($F$18:$F$19)&lt;&gt;0,ISBLANK($E$20))</formula>
    </cfRule>
  </conditionalFormatting>
  <conditionalFormatting sqref="G145">
    <cfRule type="expression" dxfId="193" priority="114" stopIfTrue="1">
      <formula>MOD(G145,1)&gt;0</formula>
    </cfRule>
  </conditionalFormatting>
  <conditionalFormatting sqref="H145:L145">
    <cfRule type="expression" dxfId="192" priority="113" stopIfTrue="1">
      <formula>MOD(H145*10,1)&gt;0</formula>
    </cfRule>
  </conditionalFormatting>
  <conditionalFormatting sqref="I136:I137">
    <cfRule type="expression" dxfId="191" priority="112" stopIfTrue="1">
      <formula>MOD(I136,1)&gt;0</formula>
    </cfRule>
  </conditionalFormatting>
  <conditionalFormatting sqref="U29:V29">
    <cfRule type="expression" dxfId="190" priority="111">
      <formula xml:space="preserve"> ISNUMBER($F29)</formula>
    </cfRule>
  </conditionalFormatting>
  <conditionalFormatting sqref="Y29">
    <cfRule type="containsText" dxfId="189" priority="106" operator="containsText" text="fehlt">
      <formula>NOT(ISERROR(SEARCH("fehlt",Y29)))</formula>
    </cfRule>
    <cfRule type="expression" dxfId="188" priority="109">
      <formula>AND(ISNUMBER(F29), ABS(E29-BD29) &lt;5 )</formula>
    </cfRule>
    <cfRule type="expression" dxfId="187" priority="440">
      <formula>AND(ISNUMBER(F29), ABS(E29-BD29) &gt;= 5 )</formula>
    </cfRule>
  </conditionalFormatting>
  <conditionalFormatting sqref="W29">
    <cfRule type="expression" dxfId="186" priority="103">
      <formula>AND(ISNUMBER(F29), ABS(D29-BB29) &lt;10 )</formula>
    </cfRule>
    <cfRule type="containsText" dxfId="185" priority="105" operator="containsText" text="fehlt">
      <formula>NOT(ISERROR(SEARCH("fehlt",W29)))</formula>
    </cfRule>
    <cfRule type="expression" dxfId="184" priority="108">
      <formula>AND(ISNUMBER(F29), ABS(D29-BB29) &gt;= 10)</formula>
    </cfRule>
  </conditionalFormatting>
  <conditionalFormatting sqref="X29">
    <cfRule type="expression" dxfId="183" priority="102">
      <formula>AND(ISNUMBER(F29), ABS(D29-BB29) &lt;50 )</formula>
    </cfRule>
    <cfRule type="containsText" dxfId="182" priority="104" operator="containsText" text="fehlt">
      <formula>NOT(ISERROR(SEARCH("fehlt",X29)))</formula>
    </cfRule>
    <cfRule type="expression" dxfId="181" priority="107">
      <formula>AND(ISNUMBER(F29), ABS(D29-BB29) &gt;= 50 )</formula>
    </cfRule>
  </conditionalFormatting>
  <conditionalFormatting sqref="N136">
    <cfRule type="containsText" dxfId="180" priority="101" operator="containsText" text="Nverf">
      <formula>NOT(ISERROR(SEARCH("Nverf",N136)))</formula>
    </cfRule>
  </conditionalFormatting>
  <conditionalFormatting sqref="O136">
    <cfRule type="containsText" dxfId="179" priority="100" operator="containsText" text="P2O5">
      <formula>NOT(ISERROR(SEARCH("P2O5",O136)))</formula>
    </cfRule>
  </conditionalFormatting>
  <conditionalFormatting sqref="O134">
    <cfRule type="containsText" dxfId="178" priority="99" operator="containsText" text="P2O5">
      <formula>NOT(ISERROR(SEARCH("P2O5",O134)))</formula>
    </cfRule>
  </conditionalFormatting>
  <conditionalFormatting sqref="O141">
    <cfRule type="containsText" dxfId="177" priority="98" operator="containsText" text="P2O5">
      <formula>NOT(ISERROR(SEARCH("P2O5",O141)))</formula>
    </cfRule>
  </conditionalFormatting>
  <conditionalFormatting sqref="O142">
    <cfRule type="containsText" dxfId="176" priority="97" operator="containsText" text="P2O5">
      <formula>NOT(ISERROR(SEARCH("P2O5",O142)))</formula>
    </cfRule>
  </conditionalFormatting>
  <conditionalFormatting sqref="A136">
    <cfRule type="containsBlanks" dxfId="175" priority="96">
      <formula>LEN(TRIM(A136))=0</formula>
    </cfRule>
  </conditionalFormatting>
  <conditionalFormatting sqref="U28:Y28">
    <cfRule type="expression" dxfId="174" priority="94">
      <formula>ISNUMBER($F29)</formula>
    </cfRule>
  </conditionalFormatting>
  <conditionalFormatting sqref="V109">
    <cfRule type="expression" dxfId="173" priority="93" stopIfTrue="1">
      <formula>ISBLANK($V$109)</formula>
    </cfRule>
  </conditionalFormatting>
  <conditionalFormatting sqref="X111">
    <cfRule type="containsText" dxfId="172" priority="92" operator="containsText" text="i.O.">
      <formula>NOT(ISERROR(SEARCH("i.O.",X111)))</formula>
    </cfRule>
  </conditionalFormatting>
  <conditionalFormatting sqref="S109">
    <cfRule type="containsText" dxfId="171" priority="91" operator="containsText" text="eintragen">
      <formula>NOT(ISERROR(SEARCH("eintragen",S109)))</formula>
    </cfRule>
  </conditionalFormatting>
  <conditionalFormatting sqref="U109">
    <cfRule type="containsText" dxfId="170" priority="90" operator="containsText" text="Flä">
      <formula>NOT(ISERROR(SEARCH("Flä",U109)))</formula>
    </cfRule>
  </conditionalFormatting>
  <conditionalFormatting sqref="V111">
    <cfRule type="expression" dxfId="169" priority="89">
      <formula>$X$111 &lt;&gt; "i.O."</formula>
    </cfRule>
  </conditionalFormatting>
  <conditionalFormatting sqref="T134:U134">
    <cfRule type="expression" dxfId="168" priority="87" stopIfTrue="1">
      <formula>ISNUMBER(T134)</formula>
    </cfRule>
  </conditionalFormatting>
  <conditionalFormatting sqref="T133:U133">
    <cfRule type="expression" dxfId="167" priority="85" stopIfTrue="1">
      <formula>ISNUMBER(T133)</formula>
    </cfRule>
  </conditionalFormatting>
  <conditionalFormatting sqref="T141:U141">
    <cfRule type="expression" dxfId="166" priority="83" stopIfTrue="1">
      <formula>ISNUMBER(T141)</formula>
    </cfRule>
  </conditionalFormatting>
  <conditionalFormatting sqref="R134">
    <cfRule type="expression" dxfId="165" priority="79">
      <formula>S134 =  ""</formula>
    </cfRule>
  </conditionalFormatting>
  <conditionalFormatting sqref="R133">
    <cfRule type="expression" dxfId="164" priority="78">
      <formula>S133 =  ""</formula>
    </cfRule>
  </conditionalFormatting>
  <conditionalFormatting sqref="S134">
    <cfRule type="expression" dxfId="163" priority="68">
      <formula>AND( K$7="BIO", R134="HoDü", S134 &lt;&gt;"ja", S134 &lt;&gt;"nein")</formula>
    </cfRule>
    <cfRule type="expression" dxfId="162" priority="76" stopIfTrue="1">
      <formula>AND( K$7="BIO", R134="HoDü")</formula>
    </cfRule>
  </conditionalFormatting>
  <conditionalFormatting sqref="S133">
    <cfRule type="expression" dxfId="161" priority="65">
      <formula>AND( K$7="BIO", R133="HoDü", S133="")</formula>
    </cfRule>
    <cfRule type="expression" dxfId="160" priority="73">
      <formula>AND( K$7="BIO", R133="HoDü")</formula>
    </cfRule>
  </conditionalFormatting>
  <conditionalFormatting sqref="S140:S141">
    <cfRule type="expression" dxfId="159" priority="72" stopIfTrue="1">
      <formula>AND( K$7="BIO", R140="HoDü")</formula>
    </cfRule>
  </conditionalFormatting>
  <conditionalFormatting sqref="S123:U125">
    <cfRule type="expression" dxfId="158" priority="166" stopIfTrue="1">
      <formula>ISNUMBER($T$123)</formula>
    </cfRule>
  </conditionalFormatting>
  <conditionalFormatting sqref="S122:U122">
    <cfRule type="expression" dxfId="157" priority="67">
      <formula>ISNUMBER($T$122)</formula>
    </cfRule>
  </conditionalFormatting>
  <conditionalFormatting sqref="T140:U140">
    <cfRule type="expression" dxfId="156" priority="66" stopIfTrue="1">
      <formula>ISNUMBER(T140)</formula>
    </cfRule>
  </conditionalFormatting>
  <conditionalFormatting sqref="R133:R134">
    <cfRule type="expression" dxfId="155" priority="61">
      <formula>R133 = "HoDü"</formula>
    </cfRule>
  </conditionalFormatting>
  <conditionalFormatting sqref="S131">
    <cfRule type="containsText" dxfId="154" priority="60" operator="containsText" text="Bio">
      <formula>NOT(ISERROR(SEARCH("Bio",S131)))</formula>
    </cfRule>
  </conditionalFormatting>
  <conditionalFormatting sqref="R132">
    <cfRule type="containsText" dxfId="153" priority="59" operator="containsText" text="Art">
      <formula>NOT(ISERROR(SEARCH("Art",R132)))</formula>
    </cfRule>
  </conditionalFormatting>
  <conditionalFormatting sqref="V122:Y122">
    <cfRule type="expression" dxfId="152" priority="58">
      <formula xml:space="preserve"> $K$7="BIO"</formula>
    </cfRule>
  </conditionalFormatting>
  <conditionalFormatting sqref="S123">
    <cfRule type="containsText" dxfId="151" priority="57" operator="containsText" text="Nicht">
      <formula>NOT(ISERROR(SEARCH("Nicht",S123)))</formula>
    </cfRule>
  </conditionalFormatting>
  <conditionalFormatting sqref="R141">
    <cfRule type="expression" dxfId="150" priority="48">
      <formula>S141 =  ""</formula>
    </cfRule>
  </conditionalFormatting>
  <conditionalFormatting sqref="R141">
    <cfRule type="expression" dxfId="149" priority="47">
      <formula>R141 = "HoDü"</formula>
    </cfRule>
  </conditionalFormatting>
  <conditionalFormatting sqref="S150:X150">
    <cfRule type="expression" dxfId="148" priority="46">
      <formula>OR($N150&gt;0,$O150&gt;0)</formula>
    </cfRule>
  </conditionalFormatting>
  <conditionalFormatting sqref="N3:R3">
    <cfRule type="expression" dxfId="147" priority="44">
      <formula>OR($K$8&lt;2025,$K$8&gt;2026)</formula>
    </cfRule>
  </conditionalFormatting>
  <conditionalFormatting sqref="E22:E23 E25:E26">
    <cfRule type="expression" dxfId="146" priority="7">
      <formula>D22="jahresmilch?"</formula>
    </cfRule>
    <cfRule type="cellIs" dxfId="145" priority="35" operator="notBetween">
      <formula>1</formula>
      <formula>2000</formula>
    </cfRule>
  </conditionalFormatting>
  <conditionalFormatting sqref="G23 G26">
    <cfRule type="expression" dxfId="144" priority="29" stopIfTrue="1">
      <formula>OR(AND(ISTEXT(P23),P23 &lt;&gt; ""),AND(ISTEXT(Q23),Q23 &lt;&gt; ""))</formula>
    </cfRule>
    <cfRule type="expression" dxfId="143" priority="30" stopIfTrue="1">
      <formula xml:space="preserve"> AND(ISNUMBER(G23),G23&gt;365)</formula>
    </cfRule>
  </conditionalFormatting>
  <conditionalFormatting sqref="H23 H26">
    <cfRule type="cellIs" dxfId="142" priority="31" stopIfTrue="1" operator="greaterThan">
      <formula>24</formula>
    </cfRule>
    <cfRule type="expression" dxfId="141" priority="32" stopIfTrue="1">
      <formula>AND(ISTEXT(Q23),Q23 &lt;&gt; "")</formula>
    </cfRule>
  </conditionalFormatting>
  <conditionalFormatting sqref="I23 I26">
    <cfRule type="cellIs" dxfId="140" priority="33" stopIfTrue="1" operator="greaterThan">
      <formula>365</formula>
    </cfRule>
    <cfRule type="expression" dxfId="139" priority="34" stopIfTrue="1">
      <formula>AND(ISTEXT(Q23),Q23 &lt;&gt; "")</formula>
    </cfRule>
  </conditionalFormatting>
  <conditionalFormatting sqref="C26 C22:C23">
    <cfRule type="cellIs" dxfId="138" priority="27" stopIfTrue="1" operator="greaterThan">
      <formula>0.8</formula>
    </cfRule>
  </conditionalFormatting>
  <conditionalFormatting sqref="G22">
    <cfRule type="expression" dxfId="137" priority="20" stopIfTrue="1">
      <formula>OR(AND(ISTEXT(P22),P22 &lt;&gt; ""),AND(ISTEXT(Q22),Q22 &lt;&gt; ""))</formula>
    </cfRule>
    <cfRule type="expression" dxfId="136" priority="21" stopIfTrue="1">
      <formula xml:space="preserve"> AND(ISNUMBER(G22),G22&gt;365)</formula>
    </cfRule>
  </conditionalFormatting>
  <conditionalFormatting sqref="H22">
    <cfRule type="cellIs" dxfId="135" priority="22" stopIfTrue="1" operator="greaterThan">
      <formula>24</formula>
    </cfRule>
    <cfRule type="expression" dxfId="134" priority="23" stopIfTrue="1">
      <formula>AND(ISTEXT(Q22),Q22 &lt;&gt; "")</formula>
    </cfRule>
  </conditionalFormatting>
  <conditionalFormatting sqref="I22">
    <cfRule type="cellIs" dxfId="133" priority="24" stopIfTrue="1" operator="greaterThan">
      <formula>365</formula>
    </cfRule>
    <cfRule type="expression" dxfId="132" priority="25" stopIfTrue="1">
      <formula>AND(ISTEXT(Q22),Q22 &lt;&gt; "")</formula>
    </cfRule>
  </conditionalFormatting>
  <conditionalFormatting sqref="G25">
    <cfRule type="expression" dxfId="131" priority="11" stopIfTrue="1">
      <formula>OR(AND(ISTEXT(P25),P25 &lt;&gt; ""),AND(ISTEXT(Q25),Q25 &lt;&gt; ""))</formula>
    </cfRule>
    <cfRule type="expression" dxfId="130" priority="12" stopIfTrue="1">
      <formula xml:space="preserve"> AND(ISNUMBER(G25),G25&gt;365)</formula>
    </cfRule>
  </conditionalFormatting>
  <conditionalFormatting sqref="H25">
    <cfRule type="cellIs" dxfId="129" priority="13" stopIfTrue="1" operator="greaterThan">
      <formula>24</formula>
    </cfRule>
    <cfRule type="expression" dxfId="128" priority="14" stopIfTrue="1">
      <formula>AND(ISTEXT(Q25),Q25 &lt;&gt; "")</formula>
    </cfRule>
  </conditionalFormatting>
  <conditionalFormatting sqref="I25">
    <cfRule type="cellIs" dxfId="127" priority="15" stopIfTrue="1" operator="greaterThan">
      <formula>365</formula>
    </cfRule>
    <cfRule type="expression" dxfId="126" priority="16" stopIfTrue="1">
      <formula>AND(ISTEXT(Q25),Q25 &lt;&gt; "")</formula>
    </cfRule>
  </conditionalFormatting>
  <conditionalFormatting sqref="E21">
    <cfRule type="expression" dxfId="125" priority="9">
      <formula>AND(SUM($F$18:$F$19)&lt;&gt;0,ISBLANK($E$20))</formula>
    </cfRule>
  </conditionalFormatting>
  <conditionalFormatting sqref="D22:D23 D25:D26">
    <cfRule type="beginsWith" dxfId="124" priority="8" operator="beginsWith" text="Jahresmilch?">
      <formula>LEFT(D22,LEN("Jahresmilch?"))="Jahresmilch?"</formula>
    </cfRule>
  </conditionalFormatting>
  <conditionalFormatting sqref="L22:L23 L25:L26">
    <cfRule type="expression" dxfId="123" priority="6">
      <formula>NOT(ISNUMBER(L22))</formula>
    </cfRule>
  </conditionalFormatting>
  <conditionalFormatting sqref="L35">
    <cfRule type="expression" dxfId="122" priority="5">
      <formula>NOT(ISNUMBER(L35))</formula>
    </cfRule>
  </conditionalFormatting>
  <conditionalFormatting sqref="B18">
    <cfRule type="expression" dxfId="121" priority="4">
      <formula>C18="Milch?"</formula>
    </cfRule>
  </conditionalFormatting>
  <conditionalFormatting sqref="G24">
    <cfRule type="expression" dxfId="120" priority="3" stopIfTrue="1">
      <formula xml:space="preserve"> ISTEXT(P24)</formula>
    </cfRule>
  </conditionalFormatting>
  <conditionalFormatting sqref="D24">
    <cfRule type="expression" dxfId="119" priority="2">
      <formula>AND(SUM($F$18:$F$19)&lt;&gt;0,ISBLANK($E$20))</formula>
    </cfRule>
  </conditionalFormatting>
  <conditionalFormatting sqref="E24">
    <cfRule type="expression" dxfId="118" priority="1">
      <formula>AND(SUM($F$18:$F$19)&lt;&gt;0,ISBLANK($E$20))</formula>
    </cfRule>
  </conditionalFormatting>
  <dataValidations xWindow="444" yWindow="717" count="33">
    <dataValidation type="decimal" allowBlank="1" showInputMessage="1" showErrorMessage="1" errorTitle="%TS" error="Der eingegebene Gehalt liegt ausserhalb des erwarteten Bereichs." promptTitle="% TS" prompt="TS-Gehalt in % eingeben" sqref="E46:E54" xr:uid="{00000000-0002-0000-0200-000000000000}">
      <formula1>BQ46</formula1>
      <formula2>BR46</formula2>
    </dataValidation>
    <dataValidation type="custom" allowBlank="1" showInputMessage="1" showErrorMessage="1" errorTitle="Ertrag" error="passt nicht zur Kultur" promptTitle="Mittlerer Feldertrag" prompt="nachweislich regelmässig geernteter Ertrag im Durchschnitt von 3 Jahren eintragen (siehe Wegleitung 2.16 und 3.7)_x000a__x000a_Ausnahme: Kulturen mit Norm pro ha (z.B. Gründüngungen, Ackerschonstreifen, Nichtaufgeführte Kulturen, usw.)" sqref="H90:H93" xr:uid="{00000000-0002-0000-0200-000001000000}">
      <formula1 xml:space="preserve"> H90 &lt; (1.9*BG90)</formula1>
    </dataValidation>
    <dataValidation type="list" allowBlank="1" showInputMessage="1" showErrorMessage="1" sqref="G188:G192 F119:F121 F126:F130 F134:F137 F141:F142 F145" xr:uid="{00000000-0002-0000-0200-000002000000}">
      <formula1>Einheit</formula1>
    </dataValidation>
    <dataValidation type="decimal" showInputMessage="1" showErrorMessage="1" errorTitle="P-Fehlerbereich" error="Eingabe überprüfen (0 oder 10%)" promptTitle="P-Fehlerbereich" prompt="Geben Sie den P-Fehlerbereich für Ihren Betrieb ein _x000a_( 0% oder 10%); _x000a_ab 1.1.2024 gilt 0% für alle Betriebe_x000a_" sqref="O150" xr:uid="{00000000-0002-0000-0200-000003000000}">
      <formula1>0</formula1>
      <formula2>0.1</formula2>
    </dataValidation>
    <dataValidation type="list" allowBlank="1" showInputMessage="1" showErrorMessage="1" errorTitle="ungültige Kultur" error="Wählen Sie bitte eine Kultur aus der Liste." sqref="B90:B92" xr:uid="{00000000-0002-0000-0200-000004000000}">
      <formula1>Kulturen_Acker</formula1>
    </dataValidation>
    <dataValidation type="list" allowBlank="1" showInputMessage="1" showErrorMessage="1" errorTitle="ungültige Kultur" error="Wählen Sie bitte eine Kultur aus der Liste." sqref="B95" xr:uid="{00000000-0002-0000-0200-000005000000}">
      <formula1 xml:space="preserve"> Kulturen_Gemüse</formula1>
    </dataValidation>
    <dataValidation type="list" allowBlank="1" showInputMessage="1" showErrorMessage="1" errorTitle="ungültige Kultur" error="Wählen Sie bitte eine Kultur aus der Liste." sqref="B99" xr:uid="{00000000-0002-0000-0200-000006000000}">
      <formula1 xml:space="preserve"> Kulturen_Dauerkulturen</formula1>
    </dataValidation>
    <dataValidation type="list" allowBlank="1" showInputMessage="1" showErrorMessage="1" errorTitle="ungültige Kultur" error="Wählen Sie eine Kultur aus der Liste!" sqref="B102" xr:uid="{00000000-0002-0000-0200-000007000000}">
      <formula1 xml:space="preserve"> Kulturen_Gd_und_Gemüse</formula1>
    </dataValidation>
    <dataValidation type="decimal" allowBlank="1" showInputMessage="1" showErrorMessage="1" errorTitle="Korrekturfaktor nach Bodenprobe " error="nur Werte zwischen 0 - 2.0 möglich" promptTitle="KF nach Bodenanalyse eingeben" sqref="J90:J103" xr:uid="{00000000-0002-0000-0200-000008000000}">
      <formula1>0</formula1>
      <formula2>2</formula2>
    </dataValidation>
    <dataValidation type="decimal" allowBlank="1" showInputMessage="1" showErrorMessage="1" errorTitle="Korrekturfaktor nach Bodenprobe" error="nur Werte zwischen 0 - 2.5 möglich" promptTitle="KF nach Bodenanalyse eingeben" sqref="K90:L103" xr:uid="{00000000-0002-0000-0200-000009000000}">
      <formula1>0</formula1>
      <formula2>2.5</formula2>
    </dataValidation>
    <dataValidation type="list" allowBlank="1" showInputMessage="1" showErrorMessage="1" errorTitle="ungültige Tierkategorie" error="Wählen Sie eine Tierkategorie aus der Liste!" sqref="B30:B34" xr:uid="{00000000-0002-0000-0200-00000A000000}">
      <formula1>Tierkategorien</formula1>
    </dataValidation>
    <dataValidation type="list" allowBlank="1" showErrorMessage="1" errorTitle="Ungültige Grundfutter(GF)-Art" error="Wählen Sie eine Art aus der Liste!" sqref="B46:C54" xr:uid="{00000000-0002-0000-0200-00000B000000}">
      <formula1 xml:space="preserve"> Grundfutter_Arten</formula1>
    </dataValidation>
    <dataValidation type="list" showInputMessage="1" showErrorMessage="1" errorTitle="ungülte GF-Art" error="Wählen Sie eine GF-Art aus der Liste!" sqref="J49:J50" xr:uid="{00000000-0002-0000-0200-00000C000000}">
      <formula1>Grundfutter_aFuFl</formula1>
    </dataValidation>
    <dataValidation type="decimal" allowBlank="1" showInputMessage="1" showErrorMessage="1" errorTitle="TS-Gehalt in %" error="nur Werte von 0 - 100% möglich._x000a__x000a_Geben Sie den TS-Gehalt in % ein." sqref="N49:N50" xr:uid="{00000000-0002-0000-0200-00000D000000}">
      <formula1>0</formula1>
      <formula2>1</formula2>
    </dataValidation>
    <dataValidation operator="greaterThan" allowBlank="1" showInputMessage="1" showErrorMessage="1" sqref="M49:M50" xr:uid="{00000000-0002-0000-0200-00000E000000}"/>
    <dataValidation type="decimal" operator="greaterThanOrEqual" allowBlank="1" showInputMessage="1" showErrorMessage="1" errorTitle="Höhenlage" error="Meter über Meer eintragen (positive Zahl) " promptTitle="Höhenlage des Betriebs" prompt="Höhe in Meter über Meer eintragen_x000a__x000a_massgebend ist Betriebszentrum, ev. flächengewichteter Durchschnitt der Grünlandparzellen, _x000a_siehe Wegleitung 3.4 und Tab. 3  " sqref="Q57" xr:uid="{00000000-0002-0000-0200-00000F000000}">
      <formula1>0</formula1>
    </dataValidation>
    <dataValidation type="decimal" allowBlank="1" showInputMessage="1" showErrorMessage="1" errorTitle="Ertrag Zwischenfutter" error="max. 25 dt TS pro Schnitt möglich" promptTitle="Ertrag Zwischenfutter" prompt="_x000a_mittlerer Ertrag pro Schnitt bzw. Nutzung eingeben_x000a__x000a_max. 25 dt TS / ha / Nutzung möglich (siehe Wegleitung 3.4 und Tab.3)" sqref="G67" xr:uid="{00000000-0002-0000-0200-000010000000}">
      <formula1>0</formula1>
      <formula2>25</formula2>
    </dataValidation>
    <dataValidation type="decimal" operator="greaterThan" allowBlank="1" showInputMessage="1" showErrorMessage="1" promptTitle="Fläche Zwischenfutter" prompt="_x000a_gesamte genutzte Fläche eingeben_x000a__x000a_(z.B. 3 ha mit 2 Schnitten + 2 ha mit 1 Schnitt = 8 ha) " sqref="F67" xr:uid="{00000000-0002-0000-0200-000011000000}">
      <formula1>0</formula1>
    </dataValidation>
    <dataValidation type="list" allowBlank="1" showErrorMessage="1" promptTitle="Produktions-Art" prompt="BIO oder ÖLN" sqref="K7" xr:uid="{00000000-0002-0000-0200-000012000000}">
      <formula1>Produktions_Art</formula1>
    </dataValidation>
    <dataValidation type="list" allowBlank="1" showInputMessage="1" showErrorMessage="1" promptTitle="BIO: Zone für Max. DGVE / ha" sqref="R166" xr:uid="{00000000-0002-0000-0200-000013000000}">
      <formula1>BIO_DGVE_pro_ha_Liste</formula1>
    </dataValidation>
    <dataValidation allowBlank="1" showInputMessage="1" showErrorMessage="1" promptTitle="dt FS" prompt="Gewicht in dt Frischsubstanz eingeben, _x000a_Wegfuhr als negative Zahl eingeben" sqref="D46:D54" xr:uid="{00000000-0002-0000-0200-000014000000}"/>
    <dataValidation type="list" allowBlank="1" showInputMessage="1" showErrorMessage="1" errorTitle="ungültige Bezeichnung" error="Wählen Sie bitte einen Dünger aus der Liste." sqref="B136" xr:uid="{00000000-0002-0000-0200-000015000000}">
      <formula1>vergärte_Recyclingdünger_flü_Bezeichnung</formula1>
    </dataValidation>
    <dataValidation type="list" allowBlank="1" showInputMessage="1" showErrorMessage="1" errorTitle="ungültige Bezeichnung" error="Wählen Sie bitte einen Dünger aus der Liste." sqref="B141" xr:uid="{00000000-0002-0000-0200-000016000000}">
      <formula1>VergProd_fest_Bezeichnung</formula1>
    </dataValidation>
    <dataValidation type="list" allowBlank="1" showInputMessage="1" showErrorMessage="1" errorTitle="Vollmist" error="unzulässige Eingabe_x000a_zulässig sind:_x000a_-   0 : nur Gülle, Gülle+Stapelmist, Gülle+weniger als 10% Vollmist_x000a_-  50 : 10-90% Vollmist_x000a_- 100 : nur Vollmist (weniger als 10% Gülle) z.B. Tiefstreu, Geflügel_x000a_- leer : wenn unbekannt" promptTitle="Vollmist - Typ nach Aufstallung" prompt="-   0  : nur Gülle, Gülle+Stapelmist , Gülle+weniger als 10% Vollmist_x000a_-  50 : Gülle + 10-90% Vollmist (z.B. 2-Raum-Laufstall)_x000a_- 100: nur Vollmist (weniger als 10% Gülle) z.B.Tiefstreu, Geflügel_x000a_- &quot;leer&quot; :  wenn unbekannt" sqref="J18:J19 J29:J34 J22:J23 J25:J26" xr:uid="{00000000-0002-0000-0200-000017000000}">
      <formula1>$BG$4:$BG$7</formula1>
    </dataValidation>
    <dataValidation type="list" allowBlank="1" showErrorMessage="1" prompt="ja : Vollmist = Kot+aller Harn im Mist (d.h. Aufstallung ohne Gülleanfall)_x000a_nein: alle übrigen Fälle " sqref="R119:S121 U18:U19 S133:S134 S140:S141" xr:uid="{00000000-0002-0000-0200-000018000000}">
      <formula1>$BI$4:$BI$6</formula1>
    </dataValidation>
    <dataValidation type="list" allowBlank="1" showInputMessage="1" showErrorMessage="1" promptTitle="Laufstall Milchkühe" prompt="&quot;ja&quot; nur auswählen, wenn alle Milchkühe (inkl. Galtkühe, Ausmastkühe) des Betriebes im Laufstall gehalten werden" sqref="E20" xr:uid="{00000000-0002-0000-0200-000019000000}">
      <formula1>$BI$4:$BI$6</formula1>
    </dataValidation>
    <dataValidation type="decimal" errorStyle="warning" allowBlank="1" showErrorMessage="1" errorTitle="Milchleistung" error="in der Regel unter 16'000 kg / Kuh / Jahr im Durchschnitt _x000a_-&gt; melden Sie sich beim Autor" sqref="B18:B19" xr:uid="{00000000-0002-0000-0200-00001A000000}">
      <formula1>0</formula1>
      <formula2>16000</formula2>
    </dataValidation>
    <dataValidation type="decimal" errorStyle="warning" allowBlank="1" showErrorMessage="1" errorTitle="Ausstall-LG " error="Eingabe ausserhalb Gültigkeitsbereich von 400-580 kg LG" promptTitle="Ausstall-LG" sqref="E29" xr:uid="{00000000-0002-0000-0200-00001B000000}">
      <formula1>400</formula1>
      <formula2>580</formula2>
    </dataValidation>
    <dataValidation type="decimal" errorStyle="warning" allowBlank="1" showErrorMessage="1" errorTitle="Tageszuwachs" error="Eingabe ausserhalb Gültigkeisbereich von 850-1500 g/d " promptTitle="Tageszuwachs" prompt="Zuwachs ab Beginn der Mastphase_x000a_Kontrollmöglichkeit: 1396 + 3.19 x Ausstall-LG (kg) - 4.29 x Schlachtalter (d)" sqref="D29" xr:uid="{00000000-0002-0000-0200-00001C000000}">
      <formula1>850</formula1>
      <formula2>1500</formula2>
    </dataValidation>
    <dataValidation type="list" allowBlank="1" showInputMessage="1" showErrorMessage="1" promptTitle="Laufstall Jungvieh" prompt="&quot;ja&quot; nur auswählen, wenn alles Jungvieh (Jungvieh &lt;160 d, Jungvieh 160-365 d, Jungvieh 1-2 Jahre und Jungvieh über 2-jährig)  des Betriebes im Laufstall gehalten wird" sqref="J27:J28 E35" xr:uid="{00000000-0002-0000-0200-00001D000000}">
      <formula1>$BI$4:$BI$6</formula1>
    </dataValidation>
    <dataValidation type="list" allowBlank="1" showInputMessage="1" showErrorMessage="1" errorTitle="ungültige Bezeichnung" error="Wählen Sie bitte einen Dünger aus der Liste." sqref="B134" xr:uid="{00000000-0002-0000-0200-00001E000000}">
      <formula1>vergärte_HofD_flü_Bezeichnung</formula1>
    </dataValidation>
    <dataValidation type="decimal" showInputMessage="1" showErrorMessage="1" errorTitle="N-Fehlerbereich" error="Eingabe überprüfen (0 oder 10%)" promptTitle="N-Fehlerbereich" prompt="bis 2023 max. 10% ; ab 2024 gilt 0% _x000a_" sqref="N150" xr:uid="{00000000-0002-0000-0200-00001F000000}">
      <formula1>0</formula1>
      <formula2>0.1</formula2>
    </dataValidation>
    <dataValidation type="list" allowBlank="1" showInputMessage="1" showErrorMessage="1" errorTitle="ungültige Kultur" error="Wählen Sie bitte eine Kultur aus der Liste." sqref="B61:B62" xr:uid="{7EB78F70-EA26-4A90-9213-4AE1F0763118}">
      <formula1>Kulturen_GF_Liste</formula1>
    </dataValidation>
  </dataValidations>
  <hyperlinks>
    <hyperlink ref="AO3" r:id="rId1" xr:uid="{00000000-0004-0000-0200-000001000000}"/>
    <hyperlink ref="AM16" r:id="rId2" xr:uid="{00000000-0004-0000-0200-000002000000}"/>
    <hyperlink ref="AK35" r:id="rId3" location="Ausgeglichene-D%C3%Bcngerbilanz" xr:uid="{00000000-0004-0000-0200-000003000000}"/>
    <hyperlink ref="AO2" r:id="rId4" location="Ausgeglichene-D%C3%Bcngerbilanz" xr:uid="{00000000-0004-0000-0200-000004000000}"/>
    <hyperlink ref="J3" r:id="rId5" xr:uid="{00000000-0004-0000-0200-000005000000}"/>
    <hyperlink ref="AM17" r:id="rId6" xr:uid="{34021D4E-BCD3-47E4-8552-15BE57363535}"/>
  </hyperlinks>
  <pageMargins left="0.55118110236220474" right="0" top="0" bottom="0" header="0" footer="0"/>
  <pageSetup paperSize="9" scale="99" orientation="portrait" horizontalDpi="1200" verticalDpi="1200" r:id="rId7"/>
  <headerFooter alignWithMargins="0">
    <oddFooter>&amp;R&amp;"Arial Narrow,Standard"&amp;6&amp;F, &amp;D</oddFooter>
  </headerFooter>
  <rowBreaks count="2" manualBreakCount="2">
    <brk id="63" max="65535" man="1"/>
    <brk id="133" max="65535" man="1"/>
  </rowBreaks>
  <cellWatches>
    <cellWatch r="O150"/>
  </cellWatches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8" r:id="rId10" name="Button 14">
              <controlPr defaultSize="0" print="0" autoFill="0" autoLine="0" autoPict="0" macro="[0]!ZeileTiere">
                <anchor moveWithCells="1">
                  <from>
                    <xdr:col>19</xdr:col>
                    <xdr:colOff>66675</xdr:colOff>
                    <xdr:row>32</xdr:row>
                    <xdr:rowOff>38100</xdr:rowOff>
                  </from>
                  <to>
                    <xdr:col>23</xdr:col>
                    <xdr:colOff>19050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1" name="Button 15">
              <controlPr defaultSize="0" print="0" autoFill="0" autoLine="0" autoPict="0" macro="[0]!Modul1.ZeileGemüse">
                <anchor moveWithCells="1">
                  <from>
                    <xdr:col>18</xdr:col>
                    <xdr:colOff>352425</xdr:colOff>
                    <xdr:row>92</xdr:row>
                    <xdr:rowOff>142875</xdr:rowOff>
                  </from>
                  <to>
                    <xdr:col>19</xdr:col>
                    <xdr:colOff>9525</xdr:colOff>
                    <xdr:row>96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2" name="Button 16">
              <controlPr defaultSize="0" print="0" autoFill="0" autoLine="0" autoPict="0" macro="[0]!ZeileDauerkulturen">
                <anchor moveWithCells="1">
                  <from>
                    <xdr:col>18</xdr:col>
                    <xdr:colOff>352425</xdr:colOff>
                    <xdr:row>96</xdr:row>
                    <xdr:rowOff>142875</xdr:rowOff>
                  </from>
                  <to>
                    <xdr:col>19</xdr:col>
                    <xdr:colOff>19050</xdr:colOff>
                    <xdr:row>100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3" name="Button 17">
              <controlPr defaultSize="0" print="0" autoFill="0" autoLine="0" autoPict="0" macro="[0]!ZeileZweitkultur">
                <anchor moveWithCells="1">
                  <from>
                    <xdr:col>18</xdr:col>
                    <xdr:colOff>361950</xdr:colOff>
                    <xdr:row>100</xdr:row>
                    <xdr:rowOff>123825</xdr:rowOff>
                  </from>
                  <to>
                    <xdr:col>19</xdr:col>
                    <xdr:colOff>28575</xdr:colOff>
                    <xdr:row>104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4" name="Button 18">
              <controlPr defaultSize="0" print="0" autoFill="0" autoLine="0" autoPict="0" macro="[0]!ZeileDünger">
                <anchor moveWithCells="1">
                  <from>
                    <xdr:col>21</xdr:col>
                    <xdr:colOff>19050</xdr:colOff>
                    <xdr:row>124</xdr:row>
                    <xdr:rowOff>152400</xdr:rowOff>
                  </from>
                  <to>
                    <xdr:col>23</xdr:col>
                    <xdr:colOff>323850</xdr:colOff>
                    <xdr:row>129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5" name="Button 28">
              <controlPr defaultSize="0" print="0" autoFill="0" autoLine="0" autoPict="0" macro="[0]!Modul1.ZeileAcker">
                <anchor moveWithCells="1">
                  <from>
                    <xdr:col>18</xdr:col>
                    <xdr:colOff>352425</xdr:colOff>
                    <xdr:row>88</xdr:row>
                    <xdr:rowOff>95250</xdr:rowOff>
                  </from>
                  <to>
                    <xdr:col>19</xdr:col>
                    <xdr:colOff>9525</xdr:colOff>
                    <xdr:row>91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6" name="Button 29">
              <controlPr defaultSize="0" print="0" autoFill="0" autoLine="0" autoPict="0" macro="[0]!ZeileZuWegHofdünger">
                <anchor moveWithCells="1">
                  <from>
                    <xdr:col>21</xdr:col>
                    <xdr:colOff>95250</xdr:colOff>
                    <xdr:row>114</xdr:row>
                    <xdr:rowOff>209550</xdr:rowOff>
                  </from>
                  <to>
                    <xdr:col>23</xdr:col>
                    <xdr:colOff>400050</xdr:colOff>
                    <xdr:row>116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7" name="Button 30">
              <controlPr defaultSize="0" print="0" autoFill="0" autoLine="0" autoPict="0" macro="[0]!Modul1.ZeileImExport">
                <anchor moveWithCells="1">
                  <from>
                    <xdr:col>23</xdr:col>
                    <xdr:colOff>152400</xdr:colOff>
                    <xdr:row>32</xdr:row>
                    <xdr:rowOff>38100</xdr:rowOff>
                  </from>
                  <to>
                    <xdr:col>24</xdr:col>
                    <xdr:colOff>1047750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8" name="Button 34">
              <controlPr defaultSize="0" print="0" autoFill="0" autoLine="0" autoPict="0" macro="[0]!Drucke_Seite_Hinweis">
                <anchor moveWithCells="1">
                  <from>
                    <xdr:col>15</xdr:col>
                    <xdr:colOff>28575</xdr:colOff>
                    <xdr:row>179</xdr:row>
                    <xdr:rowOff>9525</xdr:rowOff>
                  </from>
                  <to>
                    <xdr:col>17</xdr:col>
                    <xdr:colOff>28575</xdr:colOff>
                    <xdr:row>181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9" name="Button 35">
              <controlPr defaultSize="0" print="0" autoFill="0" autoLine="0" autoPict="0" macro="[0]!Drucke_Seiten_1_2" altText="Drucken Nährstoffbilanz _x000a_Seiten 1-2">
                <anchor moveWithCells="1">
                  <from>
                    <xdr:col>18</xdr:col>
                    <xdr:colOff>152400</xdr:colOff>
                    <xdr:row>171</xdr:row>
                    <xdr:rowOff>38100</xdr:rowOff>
                  </from>
                  <to>
                    <xdr:col>18</xdr:col>
                    <xdr:colOff>1247775</xdr:colOff>
                    <xdr:row>171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0" name="Button 36">
              <controlPr defaultSize="0" print="0" autoFill="0" autoLine="0" autoPict="0" macro="[0]!Drucke_Seite_3">
                <anchor moveWithCells="1">
                  <from>
                    <xdr:col>16</xdr:col>
                    <xdr:colOff>28575</xdr:colOff>
                    <xdr:row>263</xdr:row>
                    <xdr:rowOff>190500</xdr:rowOff>
                  </from>
                  <to>
                    <xdr:col>18</xdr:col>
                    <xdr:colOff>457200</xdr:colOff>
                    <xdr:row>265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r:id="rId21" name="Button 269">
              <controlPr defaultSize="0" print="0" autoFill="0" autoLine="0" autoPict="0" macro="[0]!Samenproduktion_Zeilen_einblenden">
                <anchor moveWithCells="1">
                  <from>
                    <xdr:col>21</xdr:col>
                    <xdr:colOff>76200</xdr:colOff>
                    <xdr:row>62</xdr:row>
                    <xdr:rowOff>19050</xdr:rowOff>
                  </from>
                  <to>
                    <xdr:col>24</xdr:col>
                    <xdr:colOff>161925</xdr:colOff>
                    <xdr:row>66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" r:id="rId22" name="Button 319">
              <controlPr defaultSize="0" print="0" autoFill="0" autoLine="0" autoPict="0" macro="[0]!Vergärungsprodukte_fest_Zeilen_einblenden">
                <anchor moveWithCells="1">
                  <from>
                    <xdr:col>22</xdr:col>
                    <xdr:colOff>180975</xdr:colOff>
                    <xdr:row>133</xdr:row>
                    <xdr:rowOff>28575</xdr:rowOff>
                  </from>
                  <to>
                    <xdr:col>24</xdr:col>
                    <xdr:colOff>742950</xdr:colOff>
                    <xdr:row>135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" r:id="rId23" name="Button 323">
              <controlPr defaultSize="0" print="0" autoFill="0" autoLine="0" autoPict="0" macro="[0]!Vergärungsprodukte_flüssig_Zeilen_ausblenden">
                <anchor moveWithCells="1">
                  <from>
                    <xdr:col>24</xdr:col>
                    <xdr:colOff>219075</xdr:colOff>
                    <xdr:row>131</xdr:row>
                    <xdr:rowOff>28575</xdr:rowOff>
                  </from>
                  <to>
                    <xdr:col>24</xdr:col>
                    <xdr:colOff>742950</xdr:colOff>
                    <xdr:row>132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" r:id="rId24" name="Button 324">
              <controlPr defaultSize="0" print="0" autoFill="0" autoLine="0" autoPict="0" macro="[0]!Vergärungsprodukte_fest_Zeilen_ausblenden">
                <anchor moveWithCells="1">
                  <from>
                    <xdr:col>24</xdr:col>
                    <xdr:colOff>219075</xdr:colOff>
                    <xdr:row>135</xdr:row>
                    <xdr:rowOff>57150</xdr:rowOff>
                  </from>
                  <to>
                    <xdr:col>24</xdr:col>
                    <xdr:colOff>742950</xdr:colOff>
                    <xdr:row>137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" r:id="rId25" name="Button 335">
              <controlPr defaultSize="0" print="0" autoFill="0" autoLine="0" autoPict="0" macro="[0]!Drucke_auf_3_statt_2_Seiten">
                <anchor moveWithCells="1">
                  <from>
                    <xdr:col>21</xdr:col>
                    <xdr:colOff>323850</xdr:colOff>
                    <xdr:row>171</xdr:row>
                    <xdr:rowOff>47625</xdr:rowOff>
                  </from>
                  <to>
                    <xdr:col>23</xdr:col>
                    <xdr:colOff>323850</xdr:colOff>
                    <xdr:row>171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" r:id="rId26" name="Button 427">
              <controlPr defaultSize="0" print="0" autoFill="0" autoLine="0" autoPict="0" macro="[0]!ZeileGrundfutter">
                <anchor moveWithCells="1">
                  <from>
                    <xdr:col>19</xdr:col>
                    <xdr:colOff>133350</xdr:colOff>
                    <xdr:row>42</xdr:row>
                    <xdr:rowOff>57150</xdr:rowOff>
                  </from>
                  <to>
                    <xdr:col>23</xdr:col>
                    <xdr:colOff>38100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96" r:id="rId27" name="Button 19544">
              <controlPr defaultSize="0" print="0" autoFill="0" autoLine="0" autoPict="0" macro="[0]!ZeileKompost">
                <anchor moveWithCells="1">
                  <from>
                    <xdr:col>23</xdr:col>
                    <xdr:colOff>428625</xdr:colOff>
                    <xdr:row>124</xdr:row>
                    <xdr:rowOff>152400</xdr:rowOff>
                  </from>
                  <to>
                    <xdr:col>24</xdr:col>
                    <xdr:colOff>590550</xdr:colOff>
                    <xdr:row>129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97" r:id="rId28" name="Button 19545">
              <controlPr defaultSize="0" print="0" autoFill="0" autoLine="0" autoPict="0" macro="[0]!Zeileorg_HD">
                <anchor moveWithCells="1">
                  <from>
                    <xdr:col>24</xdr:col>
                    <xdr:colOff>676275</xdr:colOff>
                    <xdr:row>124</xdr:row>
                    <xdr:rowOff>152400</xdr:rowOff>
                  </from>
                  <to>
                    <xdr:col>25</xdr:col>
                    <xdr:colOff>47625</xdr:colOff>
                    <xdr:row>129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07" r:id="rId29" name="Button 19555">
              <controlPr defaultSize="0" print="0" autoFill="0" autoLine="0" autoPict="0" macro="[0]!Getreide_GPS_Zeilen_einblenden">
                <anchor moveWithCells="1">
                  <from>
                    <xdr:col>21</xdr:col>
                    <xdr:colOff>66675</xdr:colOff>
                    <xdr:row>58</xdr:row>
                    <xdr:rowOff>9525</xdr:rowOff>
                  </from>
                  <to>
                    <xdr:col>24</xdr:col>
                    <xdr:colOff>152400</xdr:colOff>
                    <xdr:row>59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33" r:id="rId30" name="Button 19681">
              <controlPr defaultSize="0" print="0" autoFill="0" autoLine="0" autoPict="0" macro="[0]!ZeileVergProd_flüssig_vgHD">
                <anchor>
                  <from>
                    <xdr:col>24</xdr:col>
                    <xdr:colOff>762000</xdr:colOff>
                    <xdr:row>129</xdr:row>
                    <xdr:rowOff>142875</xdr:rowOff>
                  </from>
                  <to>
                    <xdr:col>25</xdr:col>
                    <xdr:colOff>171450</xdr:colOff>
                    <xdr:row>131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36" r:id="rId31" name="Button 19684">
              <controlPr defaultSize="0" print="0" autoFill="0" autoLine="0" autoPict="0" macro="[0]!ZeileVergProd_fest">
                <anchor moveWithCells="1">
                  <from>
                    <xdr:col>24</xdr:col>
                    <xdr:colOff>781050</xdr:colOff>
                    <xdr:row>133</xdr:row>
                    <xdr:rowOff>95250</xdr:rowOff>
                  </from>
                  <to>
                    <xdr:col>25</xdr:col>
                    <xdr:colOff>180975</xdr:colOff>
                    <xdr:row>135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" r:id="rId32" name="Button 314">
              <controlPr defaultSize="0" print="0" autoFill="0" autoLine="0" autoPict="0" macro="[0]!Vergärungsprodukte_flüssig_Zeilen_einblenden">
                <anchor moveWithCells="1">
                  <from>
                    <xdr:col>22</xdr:col>
                    <xdr:colOff>190500</xdr:colOff>
                    <xdr:row>130</xdr:row>
                    <xdr:rowOff>9525</xdr:rowOff>
                  </from>
                  <to>
                    <xdr:col>24</xdr:col>
                    <xdr:colOff>742950</xdr:colOff>
                    <xdr:row>131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63" r:id="rId33" name="Button 19711">
              <controlPr defaultSize="0" print="0" autoFill="0" autoLine="0" autoPict="0" macro="[0]!ZeileMilchkuh">
                <anchor moveWithCells="1">
                  <from>
                    <xdr:col>19</xdr:col>
                    <xdr:colOff>66675</xdr:colOff>
                    <xdr:row>29</xdr:row>
                    <xdr:rowOff>95250</xdr:rowOff>
                  </from>
                  <to>
                    <xdr:col>23</xdr:col>
                    <xdr:colOff>19050</xdr:colOff>
                    <xdr:row>31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66" r:id="rId34" name="Button 19714">
              <controlPr defaultSize="0" print="0" autoFill="0" autoLine="0" autoPict="0" macro="[0]!ZeileRV_Mast">
                <anchor moveWithCells="1">
                  <from>
                    <xdr:col>23</xdr:col>
                    <xdr:colOff>142875</xdr:colOff>
                    <xdr:row>29</xdr:row>
                    <xdr:rowOff>95250</xdr:rowOff>
                  </from>
                  <to>
                    <xdr:col>24</xdr:col>
                    <xdr:colOff>1038225</xdr:colOff>
                    <xdr:row>31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77" r:id="rId35" name="Button 19725">
              <controlPr defaultSize="0" print="0" autoFill="0" autoLine="0" autoPict="0" macro="[0]!ER_Gemuese_Zeile_einblenden">
                <anchor moveWithCells="1">
                  <from>
                    <xdr:col>22</xdr:col>
                    <xdr:colOff>180975</xdr:colOff>
                    <xdr:row>137</xdr:row>
                    <xdr:rowOff>142875</xdr:rowOff>
                  </from>
                  <to>
                    <xdr:col>24</xdr:col>
                    <xdr:colOff>733425</xdr:colOff>
                    <xdr:row>146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78" r:id="rId36" name="Button 19726">
              <controlPr defaultSize="0" print="0" autoFill="0" autoLine="0" autoPict="0" macro="[0]!ER_Gemuese_Zeile_ausblenden">
                <anchor moveWithCells="1">
                  <from>
                    <xdr:col>24</xdr:col>
                    <xdr:colOff>209550</xdr:colOff>
                    <xdr:row>147</xdr:row>
                    <xdr:rowOff>0</xdr:rowOff>
                  </from>
                  <to>
                    <xdr:col>24</xdr:col>
                    <xdr:colOff>733425</xdr:colOff>
                    <xdr:row>148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19" r:id="rId37" name="Button 19767">
              <controlPr defaultSize="0" print="0" autoFill="0" autoLine="0" autoPict="0" macro="[0]!ZeileVergProd_flüssig_RecD">
                <anchor>
                  <from>
                    <xdr:col>24</xdr:col>
                    <xdr:colOff>762000</xdr:colOff>
                    <xdr:row>131</xdr:row>
                    <xdr:rowOff>85725</xdr:rowOff>
                  </from>
                  <to>
                    <xdr:col>25</xdr:col>
                    <xdr:colOff>180975</xdr:colOff>
                    <xdr:row>133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38" r:id="rId38" name="Button 19786">
              <controlPr defaultSize="0" print="0" autoFill="0" autoLine="0" autoPict="0" macro="[0]!ZeileMilchziege">
                <anchor moveWithCells="1">
                  <from>
                    <xdr:col>20</xdr:col>
                    <xdr:colOff>219075</xdr:colOff>
                    <xdr:row>37</xdr:row>
                    <xdr:rowOff>123825</xdr:rowOff>
                  </from>
                  <to>
                    <xdr:col>23</xdr:col>
                    <xdr:colOff>9525</xdr:colOff>
                    <xdr:row>38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44" r:id="rId39" name="Button 19792">
              <controlPr defaultSize="0" print="0" autoFill="0" autoLine="0" autoPict="0" macro="[0]!Milchziege_Bereich_einblenden">
                <anchor moveWithCells="1">
                  <from>
                    <xdr:col>19</xdr:col>
                    <xdr:colOff>66675</xdr:colOff>
                    <xdr:row>34</xdr:row>
                    <xdr:rowOff>142875</xdr:rowOff>
                  </from>
                  <to>
                    <xdr:col>23</xdr:col>
                    <xdr:colOff>19050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45" r:id="rId40" name="Button 19793">
              <controlPr defaultSize="0" print="0" autoFill="0" autoLine="0" autoPict="0" macro="[0]!ZeileMilchschaf">
                <anchor moveWithCells="1">
                  <from>
                    <xdr:col>24</xdr:col>
                    <xdr:colOff>123825</xdr:colOff>
                    <xdr:row>37</xdr:row>
                    <xdr:rowOff>114300</xdr:rowOff>
                  </from>
                  <to>
                    <xdr:col>24</xdr:col>
                    <xdr:colOff>1057275</xdr:colOff>
                    <xdr:row>38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46" r:id="rId41" name="Button 19794">
              <controlPr defaultSize="0" print="0" autoFill="0" autoLine="0" autoPict="0" macro="[0]!Milchschaf_Bereich_einblenden">
                <anchor moveWithCells="1">
                  <from>
                    <xdr:col>23</xdr:col>
                    <xdr:colOff>161925</xdr:colOff>
                    <xdr:row>34</xdr:row>
                    <xdr:rowOff>142875</xdr:rowOff>
                  </from>
                  <to>
                    <xdr:col>24</xdr:col>
                    <xdr:colOff>1057275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48" r:id="rId42" name="Button 19796">
              <controlPr defaultSize="0" print="0" autoFill="0" autoLine="0" autoPict="0" macro="[0]!Milchziege_Bereich_ausblenden">
                <anchor moveWithCells="1">
                  <from>
                    <xdr:col>20</xdr:col>
                    <xdr:colOff>228600</xdr:colOff>
                    <xdr:row>36</xdr:row>
                    <xdr:rowOff>57150</xdr:rowOff>
                  </from>
                  <to>
                    <xdr:col>23</xdr:col>
                    <xdr:colOff>19050</xdr:colOff>
                    <xdr:row>37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49" r:id="rId43" name="Button 19797">
              <controlPr defaultSize="0" print="0" autoFill="0" autoLine="0" autoPict="0" macro="[0]!Milchschaf_Bereich_ausblenden">
                <anchor moveWithCells="1">
                  <from>
                    <xdr:col>24</xdr:col>
                    <xdr:colOff>123825</xdr:colOff>
                    <xdr:row>36</xdr:row>
                    <xdr:rowOff>66675</xdr:rowOff>
                  </from>
                  <to>
                    <xdr:col>24</xdr:col>
                    <xdr:colOff>1057275</xdr:colOff>
                    <xdr:row>37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tabColor rgb="FF99FF99"/>
    <pageSetUpPr fitToPage="1"/>
  </sheetPr>
  <dimension ref="A1:AC107"/>
  <sheetViews>
    <sheetView showRowColHeaders="0" zoomScale="115" zoomScaleNormal="115" zoomScalePageLayoutView="140" workbookViewId="0">
      <selection activeCell="N28" sqref="N28"/>
    </sheetView>
  </sheetViews>
  <sheetFormatPr baseColWidth="10" defaultColWidth="11.42578125" defaultRowHeight="13.5"/>
  <cols>
    <col min="1" max="1" width="3.28515625" style="1108" customWidth="1"/>
    <col min="2" max="2" width="13.7109375" style="465" customWidth="1"/>
    <col min="3" max="3" width="10.5703125" style="465" customWidth="1"/>
    <col min="4" max="4" width="2.28515625" style="465" customWidth="1"/>
    <col min="5" max="14" width="6.85546875" style="465" customWidth="1"/>
    <col min="15" max="15" width="14" style="465" customWidth="1"/>
    <col min="16" max="16" width="2.5703125" style="465" customWidth="1"/>
    <col min="17" max="17" width="64.28515625" style="1511" customWidth="1"/>
    <col min="18" max="18" width="9" style="465" customWidth="1"/>
    <col min="19" max="19" width="2.28515625" style="465" customWidth="1"/>
    <col min="20" max="20" width="9" style="1499" customWidth="1"/>
    <col min="21" max="21" width="10.42578125" style="1500" customWidth="1"/>
    <col min="22" max="28" width="11.42578125" style="1499"/>
    <col min="29" max="29" width="1.7109375" style="1499" customWidth="1"/>
    <col min="30" max="16384" width="11.42578125" style="465"/>
  </cols>
  <sheetData>
    <row r="1" spans="1:29" ht="15.75" customHeight="1">
      <c r="A1" s="2696"/>
      <c r="B1" s="933" t="s">
        <v>322</v>
      </c>
      <c r="C1" s="1494"/>
      <c r="D1" s="1494"/>
      <c r="E1" s="1494"/>
      <c r="F1" s="1494"/>
      <c r="G1" s="2384"/>
      <c r="H1" s="2384"/>
      <c r="I1" s="1716" t="str">
        <f>IF(ISBLANK(Suisse_Bilanz_1.20!G7),"Betr.-Nr. im Blatt 'Suisse_Bilanz…' erfassen",Suisse_Bilanz_1.20!G7)</f>
        <v>Betr.-Nr. im Blatt 'Suisse_Bilanz…' erfassen</v>
      </c>
      <c r="M1" s="3622">
        <f ca="1">Suisse_Bilanz_1.20!O8</f>
        <v>46091</v>
      </c>
      <c r="N1" s="3622"/>
      <c r="O1" s="1493"/>
      <c r="P1" s="2388" t="s">
        <v>54</v>
      </c>
      <c r="Q1" s="1497" t="s">
        <v>385</v>
      </c>
      <c r="R1" s="1493"/>
      <c r="S1" s="1498" t="s">
        <v>1430</v>
      </c>
      <c r="T1" s="1499" t="s">
        <v>382</v>
      </c>
      <c r="V1" s="1500"/>
      <c r="W1" s="1500"/>
      <c r="X1" s="1500"/>
      <c r="Y1" s="1500"/>
      <c r="Z1" s="1500"/>
      <c r="AA1" s="1500"/>
      <c r="AB1" s="1500"/>
      <c r="AC1" s="1498" t="s">
        <v>1430</v>
      </c>
    </row>
    <row r="2" spans="1:29" ht="15">
      <c r="B2" s="1501" t="str">
        <f>"Milch- und Fleischproduktion (GMF)  "&amp;Suisse_Bilanz_1.20!K8</f>
        <v>Milch- und Fleischproduktion (GMF)  2026</v>
      </c>
      <c r="C2" s="1494"/>
      <c r="D2" s="1494"/>
      <c r="E2" s="1494"/>
      <c r="F2" s="1494"/>
      <c r="G2" s="1494"/>
      <c r="H2" s="1494"/>
      <c r="I2" s="1502" t="str">
        <f>IF(ISBLANK(Suisse_Bilanz_1.20!C8),"Adresse im Blatt 'Suisse_Bilanz…' erfassen",Suisse_Bilanz_1.20!C8)</f>
        <v xml:space="preserve">  Original</v>
      </c>
      <c r="P2" s="2388"/>
      <c r="Q2" s="2386" t="s">
        <v>1560</v>
      </c>
      <c r="R2" s="1503"/>
      <c r="S2" s="1498" t="s">
        <v>1430</v>
      </c>
      <c r="T2" s="1500"/>
      <c r="AC2" s="1498" t="s">
        <v>1430</v>
      </c>
    </row>
    <row r="3" spans="1:29" ht="15">
      <c r="B3" s="2385" t="s">
        <v>2099</v>
      </c>
      <c r="I3" s="933" t="str">
        <f>IF(ISBLANK(Suisse_Bilanz_1.20!C9),"",Suisse_Bilanz_1.20!C9)</f>
        <v/>
      </c>
      <c r="P3" s="2388"/>
      <c r="Q3" s="2387" t="s">
        <v>1561</v>
      </c>
      <c r="R3" s="1503"/>
      <c r="S3" s="1498" t="s">
        <v>1430</v>
      </c>
      <c r="T3" s="1500"/>
      <c r="AC3" s="1498" t="s">
        <v>1430</v>
      </c>
    </row>
    <row r="4" spans="1:29" ht="15">
      <c r="A4" s="2696"/>
      <c r="B4" s="1814" t="str">
        <f>"als Ergänzung zur Suisse-Bilanz "&amp;Suisse_Bilanz_1.20!K8</f>
        <v>als Ergänzung zur Suisse-Bilanz 2026</v>
      </c>
      <c r="F4" s="1504"/>
      <c r="G4" s="1504"/>
      <c r="P4" s="2388"/>
      <c r="Q4" s="1505" t="s">
        <v>508</v>
      </c>
      <c r="R4" s="1503"/>
      <c r="S4" s="1498" t="s">
        <v>1430</v>
      </c>
      <c r="T4" s="1500"/>
      <c r="AC4" s="1498" t="s">
        <v>1430</v>
      </c>
    </row>
    <row r="5" spans="1:29">
      <c r="J5" s="1555" t="str">
        <f>IF(OR(LEFT(K5,4)="Talg",LEFT(K5,4)="Berg"),"Gebietszuteilung: ","Wählen Sie die Gebietszuteilung -&gt;  ")</f>
        <v xml:space="preserve">Wählen Sie die Gebietszuteilung -&gt;  </v>
      </c>
      <c r="K5" s="3625" t="s">
        <v>1430</v>
      </c>
      <c r="L5" s="3625"/>
      <c r="P5" s="2388"/>
      <c r="Q5" s="1506" t="s">
        <v>509</v>
      </c>
      <c r="S5" s="1507" t="s">
        <v>1430</v>
      </c>
      <c r="T5" s="1500"/>
      <c r="AC5" s="1507" t="s">
        <v>1430</v>
      </c>
    </row>
    <row r="6" spans="1:29">
      <c r="B6" s="355" t="s">
        <v>259</v>
      </c>
      <c r="P6" s="2388"/>
      <c r="Q6" s="1508" t="s">
        <v>510</v>
      </c>
      <c r="S6" s="1507" t="s">
        <v>1430</v>
      </c>
      <c r="AC6" s="1507" t="s">
        <v>1430</v>
      </c>
    </row>
    <row r="7" spans="1:29" ht="12.75" customHeight="1">
      <c r="B7" s="1845"/>
      <c r="C7" s="1899"/>
      <c r="D7" s="3619" t="s">
        <v>316</v>
      </c>
      <c r="E7" s="1815"/>
      <c r="F7" s="1816" t="s">
        <v>292</v>
      </c>
      <c r="G7" s="1896" t="str">
        <f>IF(U25&gt;0,"davon","")</f>
        <v/>
      </c>
      <c r="H7" s="1817" t="s">
        <v>250</v>
      </c>
      <c r="I7" s="1818"/>
      <c r="J7" s="1819" t="s">
        <v>251</v>
      </c>
      <c r="K7" s="1820"/>
      <c r="L7" s="1821"/>
      <c r="M7" s="1820"/>
      <c r="N7" s="1822"/>
      <c r="P7" s="2388"/>
      <c r="Q7" s="609" t="s">
        <v>511</v>
      </c>
      <c r="S7" s="1507" t="s">
        <v>1430</v>
      </c>
      <c r="Y7" s="1509" t="s">
        <v>1310</v>
      </c>
      <c r="Z7" s="1499" t="s">
        <v>316</v>
      </c>
      <c r="AC7" s="1507" t="s">
        <v>1430</v>
      </c>
    </row>
    <row r="8" spans="1:29">
      <c r="B8" s="1510" t="str">
        <f>Suisse_Bilanz_1.20!B15</f>
        <v xml:space="preserve"> Tierkategorien</v>
      </c>
      <c r="C8" s="320"/>
      <c r="D8" s="3620"/>
      <c r="E8" s="1823" t="s">
        <v>93</v>
      </c>
      <c r="F8" s="1824" t="s">
        <v>293</v>
      </c>
      <c r="G8" s="1143" t="str">
        <f>IF(U25&gt;0,"Wiesen-  &amp;","")</f>
        <v/>
      </c>
      <c r="H8" s="1825" t="s">
        <v>252</v>
      </c>
      <c r="I8" s="1826"/>
      <c r="J8" s="1827"/>
      <c r="K8" s="1828"/>
      <c r="L8" s="1829"/>
      <c r="M8" s="1830"/>
      <c r="N8" s="1565"/>
      <c r="S8" s="1507" t="s">
        <v>1430</v>
      </c>
      <c r="U8" s="1500" t="s">
        <v>317</v>
      </c>
      <c r="V8" s="1509" t="s">
        <v>254</v>
      </c>
      <c r="W8" s="1512" t="s">
        <v>395</v>
      </c>
      <c r="X8" s="1512" t="s">
        <v>319</v>
      </c>
      <c r="Y8" s="1509" t="s">
        <v>417</v>
      </c>
      <c r="Z8" s="1499" t="s">
        <v>417</v>
      </c>
      <c r="AC8" s="1507" t="s">
        <v>1430</v>
      </c>
    </row>
    <row r="9" spans="1:29">
      <c r="B9" s="1513" t="s">
        <v>305</v>
      </c>
      <c r="C9" s="1514" t="str">
        <f>IF(SUM(E11:E16)&lt;&gt;0,"Milchproduktion","")</f>
        <v/>
      </c>
      <c r="D9" s="3620"/>
      <c r="E9" s="1515" t="s">
        <v>306</v>
      </c>
      <c r="F9" s="1824" t="s">
        <v>252</v>
      </c>
      <c r="G9" s="1897" t="str">
        <f>IF(U25&gt;0,"Weidefutter","")</f>
        <v/>
      </c>
      <c r="H9" s="1832" t="s">
        <v>253</v>
      </c>
      <c r="I9" s="1833" t="s">
        <v>169</v>
      </c>
      <c r="J9" s="1516" t="s">
        <v>93</v>
      </c>
      <c r="K9" s="1517" t="str">
        <f>IF(SUMIF(J11:J22,"&gt;0")&gt;0,"Anzahl","")</f>
        <v/>
      </c>
      <c r="L9" s="1518" t="str">
        <f>IF(SUMIF(J11:J22,"&gt;0")&gt;0,"Sömmerungs-","")</f>
        <v/>
      </c>
      <c r="M9" s="1519" t="str">
        <f>IF(SUMIF(J11:J22,"&gt;0")&gt;0,"GF-Verzehr","")</f>
        <v/>
      </c>
      <c r="N9" s="1520" t="str">
        <f>IF(SUMIF(J11:J22,"&gt;0")&gt;0,"Kraftfutter","")</f>
        <v/>
      </c>
      <c r="O9" s="1521" t="str">
        <f>IF(COUNT(O11:O22)&gt;0,"KF-Sömmerung","")</f>
        <v/>
      </c>
      <c r="P9" s="2392" t="s">
        <v>54</v>
      </c>
      <c r="Q9" s="1522" t="s">
        <v>383</v>
      </c>
      <c r="S9" s="1507" t="s">
        <v>1430</v>
      </c>
      <c r="U9" s="1500" t="s">
        <v>397</v>
      </c>
      <c r="V9" s="1509" t="s">
        <v>321</v>
      </c>
      <c r="W9" s="1523" t="s">
        <v>398</v>
      </c>
      <c r="X9" s="1512" t="s">
        <v>318</v>
      </c>
      <c r="Y9" s="1509"/>
      <c r="Z9" s="1499" t="s">
        <v>1246</v>
      </c>
      <c r="AA9" s="1499" t="s">
        <v>251</v>
      </c>
      <c r="AB9" s="1589" t="s">
        <v>36</v>
      </c>
      <c r="AC9" s="1507" t="s">
        <v>1430</v>
      </c>
    </row>
    <row r="10" spans="1:29">
      <c r="B10" s="1841"/>
      <c r="C10" s="1524" t="str">
        <f>IF(SUM(E11:E16)&lt;&gt;0,"kg/Tier/Jahr","")</f>
        <v/>
      </c>
      <c r="D10" s="3621"/>
      <c r="E10" s="1525" t="s">
        <v>307</v>
      </c>
      <c r="F10" s="1831" t="str">
        <f>Suisse_Bilanz_1.20!K16</f>
        <v>dt TS/J.</v>
      </c>
      <c r="G10" s="1898" t="str">
        <f>IF(U25&gt;0,F10,"")</f>
        <v/>
      </c>
      <c r="H10" s="1714" t="s">
        <v>255</v>
      </c>
      <c r="I10" s="1834" t="s">
        <v>256</v>
      </c>
      <c r="J10" s="2773" t="s">
        <v>257</v>
      </c>
      <c r="K10" s="1526" t="str">
        <f>IF(SUMIF(J11:J22,"&gt;0")&gt;0,"Tage","")</f>
        <v/>
      </c>
      <c r="L10" s="2775" t="str">
        <f>IF(SUMIF(J11:J22,"&gt;0")&gt;0,"Tage total","")</f>
        <v/>
      </c>
      <c r="M10" s="1527" t="str">
        <f>IF(SUMIF(J11:J22,"&gt;0")&gt;0,"dt TS total","")</f>
        <v/>
      </c>
      <c r="N10" s="1528" t="str">
        <f>IF(SUMIF(J11:J22,"&gt;0")&gt;0,"dt FS total","")</f>
        <v/>
      </c>
      <c r="O10" s="1529" t="str">
        <f>IF(COUNT(O11:O22)&gt;0,"kg KF/Tier-Einheit/Tag","")</f>
        <v/>
      </c>
      <c r="P10" s="1536"/>
      <c r="Q10" s="2389" t="s">
        <v>1567</v>
      </c>
      <c r="S10" s="1507" t="s">
        <v>1430</v>
      </c>
      <c r="U10" s="1530" t="s">
        <v>396</v>
      </c>
      <c r="V10" s="1531" t="s">
        <v>323</v>
      </c>
      <c r="W10" s="1532" t="s">
        <v>320</v>
      </c>
      <c r="X10" s="1533"/>
      <c r="Y10" s="1531"/>
      <c r="Z10" s="1534"/>
      <c r="AA10" s="1534"/>
      <c r="AB10" s="1534"/>
      <c r="AC10" s="1507" t="s">
        <v>1430</v>
      </c>
    </row>
    <row r="11" spans="1:29" s="332" customFormat="1" ht="13.5" customHeight="1">
      <c r="A11" s="1109"/>
      <c r="B11" s="1812" t="str">
        <f>IF(ISNUMBER(F11),Suisse_Bilanz_1.20!B$16,"")</f>
        <v/>
      </c>
      <c r="C11" s="1813" t="str">
        <f>IF(ISNUMBER(F11),Suisse_Bilanz_1.20!B18,"")</f>
        <v/>
      </c>
      <c r="D11" s="428" t="str">
        <f>IF(LEFT(U11,2)="RV","x","")</f>
        <v/>
      </c>
      <c r="E11" s="2807" t="str">
        <f>IF(AND(ISNUMBER(F11),LEFT(B11,7)&lt;&gt;"GF-Verz"),Suisse_Bilanz_1.20!F18,"")</f>
        <v/>
      </c>
      <c r="F11" s="2290" t="str">
        <f>IF(AND(ISNUMBER(Suisse_Bilanz_1.20!K18),Suisse_Bilanz_1.20!K18&lt;&gt;0),Suisse_Bilanz_1.20!K18,"")</f>
        <v/>
      </c>
      <c r="G11" s="2290"/>
      <c r="H11" s="2300" t="str">
        <f>IF(ISNUMBER(F11),Suisse_Bilanz_1.20!E18,"")</f>
        <v/>
      </c>
      <c r="I11" s="2301" t="str">
        <f>IF(ISNUMBER(E11),Suisse_Bilanz_1.20!D18,"")</f>
        <v/>
      </c>
      <c r="J11" s="2774"/>
      <c r="K11" s="2302"/>
      <c r="L11" s="2305" t="str">
        <f>IF(AND(D11="x",J11&gt;0),J11*K11,"")</f>
        <v/>
      </c>
      <c r="M11" s="2303" t="str">
        <f>IF(AND(K11&gt;0,ISNUMBER(L11)), (56+0.14*(C11-7500)/100 - 0.003*((C11-7500)/100)^2)*L11/365,"")</f>
        <v/>
      </c>
      <c r="N11" s="2304"/>
      <c r="O11" s="2583" t="str">
        <f>IF(ISNUMBER(W11),W11/365,"")</f>
        <v/>
      </c>
      <c r="P11" s="1536"/>
      <c r="Q11" s="2390" t="s">
        <v>1568</v>
      </c>
      <c r="S11" s="1538" t="s">
        <v>1430</v>
      </c>
      <c r="T11" s="1539"/>
      <c r="U11" s="2845">
        <f>IF(ISNUMBER(F11),"RVm",0)</f>
        <v>0</v>
      </c>
      <c r="V11" s="2731" t="str">
        <f>IF(ISNUMBER(M11),M11/L11*365,"")</f>
        <v/>
      </c>
      <c r="W11" s="1541" t="str">
        <f>IF(AND(ISNUMBER(L11),L11&gt;0,U11="RVm"),N11*100*365/L11,"")</f>
        <v/>
      </c>
      <c r="X11" s="1542">
        <v>0</v>
      </c>
      <c r="Y11" s="1543">
        <v>1</v>
      </c>
      <c r="Z11" s="1759">
        <f>IF(D11="x", Y11*E11,0)</f>
        <v>0</v>
      </c>
      <c r="AA11" s="1759">
        <f>IF(AND(D11="x",ISNUMBER(L11)),Y11*L11/365,0)</f>
        <v>0</v>
      </c>
      <c r="AB11" s="1759"/>
      <c r="AC11" s="1538" t="s">
        <v>1430</v>
      </c>
    </row>
    <row r="12" spans="1:29" s="332" customFormat="1" ht="13.5" hidden="1" customHeight="1">
      <c r="A12" s="2829" t="s">
        <v>1810</v>
      </c>
      <c r="B12" s="2830"/>
      <c r="C12" s="2831"/>
      <c r="D12" s="2832"/>
      <c r="E12" s="2833"/>
      <c r="F12" s="2834"/>
      <c r="G12" s="2834"/>
      <c r="H12" s="2835"/>
      <c r="I12" s="2836"/>
      <c r="J12" s="2837"/>
      <c r="K12" s="2838"/>
      <c r="L12" s="2839"/>
      <c r="M12" s="2840"/>
      <c r="N12" s="2841"/>
      <c r="O12" s="2842"/>
      <c r="P12" s="1536"/>
      <c r="Q12" s="1537"/>
      <c r="S12" s="1538" t="s">
        <v>1430</v>
      </c>
      <c r="T12" s="1544"/>
      <c r="U12" s="1540"/>
      <c r="V12" s="2610"/>
      <c r="W12" s="1541"/>
      <c r="X12" s="2678" t="s">
        <v>260</v>
      </c>
      <c r="Y12" s="1543"/>
      <c r="Z12" s="1759"/>
      <c r="AA12" s="1759"/>
      <c r="AB12" s="1759"/>
      <c r="AC12" s="1538" t="s">
        <v>1430</v>
      </c>
    </row>
    <row r="13" spans="1:29" s="332" customFormat="1" ht="13.5" hidden="1" customHeight="1">
      <c r="A13" s="2994" t="s">
        <v>1924</v>
      </c>
      <c r="B13" s="1812" t="str">
        <f>IF(ISNUMBER(F13),Suisse_Bilanz_1.20!B22,"")</f>
        <v/>
      </c>
      <c r="C13" s="1813" t="str">
        <f>IF(ISNUMBER(F13),Suisse_Bilanz_1.20!E22,"")</f>
        <v/>
      </c>
      <c r="D13" s="428" t="str">
        <f>IF(LEFT(U13,2)="RV","x","")</f>
        <v/>
      </c>
      <c r="E13" s="2807" t="str">
        <f>IF(AND(ISNUMBER(F13),LEFT(B13,7)&lt;&gt;"GF-Verz"),Suisse_Bilanz_1.20!F22,"")</f>
        <v/>
      </c>
      <c r="F13" s="2290" t="str">
        <f>IF(AND(ISNUMBER(Suisse_Bilanz_1.20!K22),Suisse_Bilanz_1.20!K22&lt;&gt;0),Suisse_Bilanz_1.20!K22,"")</f>
        <v/>
      </c>
      <c r="G13" s="2307"/>
      <c r="H13" s="2306" t="str">
        <f t="shared" ref="H13" si="0">IF(AND(D13="x",E13&gt;0),I13*100/E13,"")</f>
        <v/>
      </c>
      <c r="I13" s="2308"/>
      <c r="J13" s="2309"/>
      <c r="K13" s="2310"/>
      <c r="L13" s="2305" t="str">
        <f t="shared" ref="L13" si="1">IF(AND(D13="x",E13&gt;0,J13&gt;0),J13*K13,"")</f>
        <v/>
      </c>
      <c r="M13" s="2303" t="str">
        <f>IF(AND(ISNUMBER(J13),K13&gt;0,ISNUMBER(L13)),V13*L13/365,"")</f>
        <v/>
      </c>
      <c r="N13" s="2304"/>
      <c r="O13" s="1535" t="str">
        <f t="shared" ref="O13:O22" si="2">IF(ISNUMBER(W13),ROUND(W13/365,1),"")</f>
        <v/>
      </c>
      <c r="P13" s="1536"/>
      <c r="Q13" s="1537"/>
      <c r="S13" s="1538"/>
      <c r="T13" s="1544"/>
      <c r="U13" s="2844">
        <f>IF(ISNUMBER(F13),"RVm",0)</f>
        <v>0</v>
      </c>
      <c r="V13" s="2686" t="str">
        <f>IF(ISNUMBER(E13),F13/E13,"")</f>
        <v/>
      </c>
      <c r="W13" s="1541" t="str">
        <f>IF(AND(ISNUMBER(L13),L13&gt;0,U13="RVm"),N13*100*365/L13,"")</f>
        <v/>
      </c>
      <c r="X13" s="1542"/>
      <c r="Y13" s="2689">
        <v>0.1</v>
      </c>
      <c r="Z13" s="2690">
        <f>IF(D13="x", Y13*E13,0)</f>
        <v>0</v>
      </c>
      <c r="AA13" s="2690">
        <f>IF(AND(D13="x",ISNUMBER(L13)),Y13*L13/365,0)</f>
        <v>0</v>
      </c>
      <c r="AB13" s="1759"/>
      <c r="AC13" s="1538" t="s">
        <v>1430</v>
      </c>
    </row>
    <row r="14" spans="1:29" s="332" customFormat="1" ht="13.5" hidden="1" customHeight="1">
      <c r="A14" s="2829" t="s">
        <v>1810</v>
      </c>
      <c r="B14" s="2830"/>
      <c r="C14" s="2831"/>
      <c r="D14" s="2832"/>
      <c r="E14" s="2833"/>
      <c r="F14" s="2834"/>
      <c r="G14" s="2834"/>
      <c r="H14" s="2835"/>
      <c r="I14" s="2836"/>
      <c r="J14" s="2837"/>
      <c r="K14" s="2838"/>
      <c r="L14" s="2839"/>
      <c r="M14" s="2840"/>
      <c r="N14" s="2841"/>
      <c r="O14" s="2843"/>
      <c r="P14" s="1536"/>
      <c r="Q14" s="1537"/>
      <c r="S14" s="1538" t="s">
        <v>1430</v>
      </c>
      <c r="T14" s="1544"/>
      <c r="U14" s="2846"/>
      <c r="V14" s="2847"/>
      <c r="W14" s="2848"/>
      <c r="X14" s="2678" t="s">
        <v>260</v>
      </c>
      <c r="Y14" s="2849"/>
      <c r="Z14" s="2850"/>
      <c r="AA14" s="2850"/>
      <c r="AB14" s="2850"/>
      <c r="AC14" s="1538" t="s">
        <v>1430</v>
      </c>
    </row>
    <row r="15" spans="1:29" s="332" customFormat="1" ht="13.5" hidden="1" customHeight="1">
      <c r="A15" s="2994" t="s">
        <v>1924</v>
      </c>
      <c r="B15" s="1812" t="str">
        <f>IF(ISNUMBER(F15),Suisse_Bilanz_1.20!B25,"")</f>
        <v/>
      </c>
      <c r="C15" s="1813" t="str">
        <f>IF(ISNUMBER(F15),Suisse_Bilanz_1.20!E25,"")</f>
        <v/>
      </c>
      <c r="D15" s="428" t="str">
        <f>IF(LEFT(U15,2)="RV","x","")</f>
        <v/>
      </c>
      <c r="E15" s="2807" t="str">
        <f>IF(AND(ISNUMBER(F15),LEFT(B15,7)&lt;&gt;"GF-Verz"),Suisse_Bilanz_1.20!F25,"")</f>
        <v/>
      </c>
      <c r="F15" s="2290" t="str">
        <f>IF(AND(ISNUMBER(Suisse_Bilanz_1.20!K25),Suisse_Bilanz_1.20!K25&lt;&gt;0),Suisse_Bilanz_1.20!K25,"")</f>
        <v/>
      </c>
      <c r="G15" s="2307"/>
      <c r="H15" s="2306" t="str">
        <f t="shared" ref="H15" si="3">IF(AND(D15="x",E15&gt;0),I15*100/E15,"")</f>
        <v/>
      </c>
      <c r="I15" s="2308"/>
      <c r="J15" s="2309"/>
      <c r="K15" s="2310"/>
      <c r="L15" s="2305" t="str">
        <f t="shared" ref="L15" si="4">IF(AND(D15="x",E15&gt;0,J15&gt;0),J15*K15,"")</f>
        <v/>
      </c>
      <c r="M15" s="2303" t="str">
        <f>IF(AND(ISNUMBER(J15),K15&gt;0,ISNUMBER(L15)),V15*L15/365,"")</f>
        <v/>
      </c>
      <c r="N15" s="2304"/>
      <c r="O15" s="1535" t="str">
        <f t="shared" si="2"/>
        <v/>
      </c>
      <c r="P15" s="1536"/>
      <c r="Q15" s="1537"/>
      <c r="S15" s="1538"/>
      <c r="T15" s="1544"/>
      <c r="U15" s="2844">
        <f>IF(ISNUMBER(F15),"RVm",0)</f>
        <v>0</v>
      </c>
      <c r="V15" s="2686" t="str">
        <f>IF(ISNUMBER(E15),F15/E15,"")</f>
        <v/>
      </c>
      <c r="W15" s="1541" t="str">
        <f>IF(AND(ISNUMBER(L15),L15&gt;0,U15="RVm"),N15*100*365/L15,"")</f>
        <v/>
      </c>
      <c r="X15" s="1542"/>
      <c r="Y15" s="2689">
        <v>0.2</v>
      </c>
      <c r="Z15" s="2690">
        <f>IF(D15="x", Y15*E15,0)</f>
        <v>0</v>
      </c>
      <c r="AA15" s="2690">
        <f>IF(AND(D15="x",ISNUMBER(L15)),Y15*L15/365,0)</f>
        <v>0</v>
      </c>
      <c r="AB15" s="1759"/>
      <c r="AC15" s="1538" t="s">
        <v>1430</v>
      </c>
    </row>
    <row r="16" spans="1:29" s="332" customFormat="1" ht="13.5" hidden="1" customHeight="1">
      <c r="A16" s="2829" t="s">
        <v>1810</v>
      </c>
      <c r="B16" s="2830"/>
      <c r="C16" s="2831"/>
      <c r="D16" s="2832"/>
      <c r="E16" s="2833"/>
      <c r="F16" s="2834"/>
      <c r="G16" s="2834"/>
      <c r="H16" s="2835"/>
      <c r="I16" s="2836"/>
      <c r="J16" s="2837"/>
      <c r="K16" s="2838"/>
      <c r="L16" s="2839"/>
      <c r="M16" s="2840"/>
      <c r="N16" s="2841"/>
      <c r="O16" s="2843"/>
      <c r="P16" s="1536"/>
      <c r="Q16" s="1546"/>
      <c r="R16" s="1545"/>
      <c r="S16" s="1538" t="s">
        <v>1430</v>
      </c>
      <c r="T16" s="1544"/>
      <c r="U16" s="1540"/>
      <c r="V16" s="1547"/>
      <c r="W16" s="1548"/>
      <c r="X16" s="2678" t="s">
        <v>260</v>
      </c>
      <c r="Y16" s="1543"/>
      <c r="Z16" s="1759"/>
      <c r="AA16" s="1759"/>
      <c r="AB16" s="1759"/>
      <c r="AC16" s="1538" t="s">
        <v>1430</v>
      </c>
    </row>
    <row r="17" spans="1:29" s="332" customFormat="1" ht="13.5" customHeight="1">
      <c r="A17" s="2699"/>
      <c r="B17" s="2399" t="str">
        <f>IF(ISNUMBER(F17),Suisse_Bilanz_1.20!B29&amp;" - "&amp;Suisse_Bilanz_1.20!D29&amp;" / "&amp;Suisse_Bilanz_1.20!E29,"")</f>
        <v/>
      </c>
      <c r="C17" s="311"/>
      <c r="D17" s="428" t="str">
        <f t="shared" ref="D17:D22" si="5">IF(LEFT(U17,2)="RV","x","")</f>
        <v/>
      </c>
      <c r="E17" s="2807" t="str">
        <f>IF(AND(ISNUMBER(F17),LEFT(B17,7)&lt;&gt;"GF-Verz"),Suisse_Bilanz_1.20!F29,"")</f>
        <v/>
      </c>
      <c r="F17" s="2290" t="str">
        <f>IF(AND(ISNUMBER(Suisse_Bilanz_1.20!K29),Suisse_Bilanz_1.20!K29&lt;&gt;0),Suisse_Bilanz_1.20!K29,"")</f>
        <v/>
      </c>
      <c r="G17" s="2307"/>
      <c r="H17" s="2306" t="str">
        <f>IF(AND(D17="x",E17&gt;0,E17&lt;1000000),I17*100/E17,"")</f>
        <v/>
      </c>
      <c r="I17" s="2308"/>
      <c r="J17" s="2309"/>
      <c r="K17" s="2310"/>
      <c r="L17" s="2305" t="str">
        <f t="shared" ref="L17:L22" si="6">IF(AND(D17="x",E17&gt;0,J17&gt;0),J17*K17,"")</f>
        <v/>
      </c>
      <c r="M17" s="2303" t="str">
        <f t="shared" ref="M17:M22" si="7">IF(AND(ISNUMBER(J17),K17&gt;0,ISNUMBER(L17)),V17*L17/365,"")</f>
        <v/>
      </c>
      <c r="N17" s="2304"/>
      <c r="O17" s="1535" t="str">
        <f t="shared" si="2"/>
        <v/>
      </c>
      <c r="P17" s="1536"/>
      <c r="Q17" s="1537"/>
      <c r="S17" s="1538" t="s">
        <v>1430</v>
      </c>
      <c r="T17" s="1544"/>
      <c r="U17" s="2685">
        <f>IF(ISNUMBER(F17),"RV",0)</f>
        <v>0</v>
      </c>
      <c r="V17" s="2686" t="str">
        <f>IF(ISNUMBER(E17),F17/E17,"")</f>
        <v/>
      </c>
      <c r="W17" s="2687" t="str">
        <f t="shared" ref="W17:W22" si="8">IF(AND(ISNUMBER(L17),L17&gt;0,U17="RVm"),N17*100*365/L17,"")</f>
        <v/>
      </c>
      <c r="X17" s="2688"/>
      <c r="Y17" s="2689">
        <v>0.33100000000000002</v>
      </c>
      <c r="Z17" s="2690">
        <f t="shared" ref="Z17:Z22" si="9">IF(D17="x", Y17*E17,0)</f>
        <v>0</v>
      </c>
      <c r="AA17" s="2690">
        <f t="shared" ref="AA17:AA22" si="10">IF(AND(D17="x",ISNUMBER(L17)),Y17*L17/365,0)</f>
        <v>0</v>
      </c>
      <c r="AB17" s="1759"/>
      <c r="AC17" s="1538" t="s">
        <v>1430</v>
      </c>
    </row>
    <row r="18" spans="1:29" s="332" customFormat="1">
      <c r="A18" s="1109"/>
      <c r="B18" s="1812" t="str">
        <f>IF(ISNUMBER(F18),Suisse_Bilanz_1.20!B30,"")</f>
        <v/>
      </c>
      <c r="C18" s="311"/>
      <c r="D18" s="428" t="str">
        <f t="shared" si="5"/>
        <v/>
      </c>
      <c r="E18" s="2807" t="str">
        <f>IF(AND(ISNUMBER(F18),LEFT(B18,7)&lt;&gt;"GF-Verz"),Suisse_Bilanz_1.20!F30,"")</f>
        <v/>
      </c>
      <c r="F18" s="2290" t="str">
        <f>IF(AND(ISNUMBER(Suisse_Bilanz_1.20!K30),Suisse_Bilanz_1.20!K30&lt;&gt;0),Suisse_Bilanz_1.20!K30,"")</f>
        <v/>
      </c>
      <c r="G18" s="2307"/>
      <c r="H18" s="2306" t="str">
        <f t="shared" ref="H18:H22" si="11">IF(AND(D18="x",E18&gt;0),I18*100/E18,"")</f>
        <v/>
      </c>
      <c r="I18" s="2308"/>
      <c r="J18" s="2309"/>
      <c r="K18" s="2310"/>
      <c r="L18" s="2305" t="str">
        <f t="shared" si="6"/>
        <v/>
      </c>
      <c r="M18" s="2303" t="str">
        <f t="shared" si="7"/>
        <v/>
      </c>
      <c r="N18" s="2304"/>
      <c r="O18" s="1535" t="str">
        <f t="shared" si="2"/>
        <v/>
      </c>
      <c r="P18" s="1536"/>
      <c r="Q18" s="1537" t="s">
        <v>1562</v>
      </c>
      <c r="S18" s="1538" t="s">
        <v>1430</v>
      </c>
      <c r="T18" s="1544"/>
      <c r="U18" s="1540">
        <f>VLOOKUP($B18,Daten!$F$289:$Q$391,12,FALSE)</f>
        <v>0</v>
      </c>
      <c r="V18" s="1547">
        <f>VLOOKUP(Suisse_Bilanz_1.20!A30,Daten!$E$289:$L$391,4,FALSE)</f>
        <v>0</v>
      </c>
      <c r="W18" s="1541" t="str">
        <f t="shared" si="8"/>
        <v/>
      </c>
      <c r="X18" s="1548"/>
      <c r="Y18" s="1543">
        <f>VLOOKUP(Suisse_Bilanz_1.20!B30,Daten!$F$289:$S$391,11,FALSE)</f>
        <v>0</v>
      </c>
      <c r="Z18" s="1759">
        <f t="shared" si="9"/>
        <v>0</v>
      </c>
      <c r="AA18" s="1759">
        <f t="shared" si="10"/>
        <v>0</v>
      </c>
      <c r="AB18" s="1759"/>
      <c r="AC18" s="1538" t="s">
        <v>1430</v>
      </c>
    </row>
    <row r="19" spans="1:29" s="332" customFormat="1">
      <c r="A19" s="1109"/>
      <c r="B19" s="1812" t="str">
        <f>IF(ISNUMBER(F19),Suisse_Bilanz_1.20!B31,"")</f>
        <v/>
      </c>
      <c r="C19" s="311"/>
      <c r="D19" s="428" t="str">
        <f t="shared" si="5"/>
        <v/>
      </c>
      <c r="E19" s="2807" t="str">
        <f>IF(AND(ISNUMBER(F19),LEFT(B19,7)&lt;&gt;"GF-Verz"),Suisse_Bilanz_1.20!F31,"")</f>
        <v/>
      </c>
      <c r="F19" s="2290" t="str">
        <f>IF(AND(ISNUMBER(Suisse_Bilanz_1.20!K31),Suisse_Bilanz_1.20!K31&lt;&gt;0),Suisse_Bilanz_1.20!K31,"")</f>
        <v/>
      </c>
      <c r="G19" s="2307"/>
      <c r="H19" s="2306" t="str">
        <f t="shared" si="11"/>
        <v/>
      </c>
      <c r="I19" s="2308"/>
      <c r="J19" s="2309"/>
      <c r="K19" s="2310"/>
      <c r="L19" s="2305" t="str">
        <f t="shared" si="6"/>
        <v/>
      </c>
      <c r="M19" s="2303" t="str">
        <f t="shared" si="7"/>
        <v/>
      </c>
      <c r="N19" s="2304"/>
      <c r="O19" s="1535" t="str">
        <f t="shared" si="2"/>
        <v/>
      </c>
      <c r="P19" s="1536"/>
      <c r="Q19" s="1537" t="s">
        <v>1563</v>
      </c>
      <c r="S19" s="1538" t="s">
        <v>1430</v>
      </c>
      <c r="T19" s="1544"/>
      <c r="U19" s="1540">
        <f>VLOOKUP($B19,Daten!$F$289:$Q$391,12,FALSE)</f>
        <v>0</v>
      </c>
      <c r="V19" s="1547">
        <f>VLOOKUP(Suisse_Bilanz_1.20!A31,Daten!$E$289:$L$391,4,FALSE)</f>
        <v>0</v>
      </c>
      <c r="W19" s="1541" t="str">
        <f t="shared" si="8"/>
        <v/>
      </c>
      <c r="X19" s="1548"/>
      <c r="Y19" s="1543">
        <f>VLOOKUP(Suisse_Bilanz_1.20!B31,Daten!$F$289:$S$391,11,FALSE)</f>
        <v>0</v>
      </c>
      <c r="Z19" s="1759">
        <f t="shared" si="9"/>
        <v>0</v>
      </c>
      <c r="AA19" s="1759">
        <f t="shared" si="10"/>
        <v>0</v>
      </c>
      <c r="AB19" s="1759"/>
      <c r="AC19" s="1538" t="s">
        <v>1430</v>
      </c>
    </row>
    <row r="20" spans="1:29" s="332" customFormat="1">
      <c r="A20" s="1109"/>
      <c r="B20" s="1812" t="str">
        <f>IF(ISNUMBER(F20),Suisse_Bilanz_1.20!B32,"")</f>
        <v/>
      </c>
      <c r="C20" s="311"/>
      <c r="D20" s="428" t="str">
        <f t="shared" si="5"/>
        <v/>
      </c>
      <c r="E20" s="2807" t="str">
        <f>IF(AND(ISNUMBER(F20),LEFT(B20,7)&lt;&gt;"GF-Verz"),Suisse_Bilanz_1.20!F32,"")</f>
        <v/>
      </c>
      <c r="F20" s="2290" t="str">
        <f>IF(AND(ISNUMBER(Suisse_Bilanz_1.20!K32),Suisse_Bilanz_1.20!K32&lt;&gt;0),Suisse_Bilanz_1.20!K32,"")</f>
        <v/>
      </c>
      <c r="G20" s="2307"/>
      <c r="H20" s="2306" t="str">
        <f t="shared" si="11"/>
        <v/>
      </c>
      <c r="I20" s="2308"/>
      <c r="J20" s="2309"/>
      <c r="K20" s="2310"/>
      <c r="L20" s="2305" t="str">
        <f t="shared" si="6"/>
        <v/>
      </c>
      <c r="M20" s="2303" t="str">
        <f t="shared" si="7"/>
        <v/>
      </c>
      <c r="N20" s="2304"/>
      <c r="O20" s="1535" t="str">
        <f t="shared" si="2"/>
        <v/>
      </c>
      <c r="P20" s="1536"/>
      <c r="Q20" s="1537" t="s">
        <v>503</v>
      </c>
      <c r="S20" s="1538" t="s">
        <v>1430</v>
      </c>
      <c r="T20" s="1544"/>
      <c r="U20" s="1540">
        <f>VLOOKUP($B20,Daten!$F$289:$Q$391,12,FALSE)</f>
        <v>0</v>
      </c>
      <c r="V20" s="1547">
        <f>VLOOKUP(Suisse_Bilanz_1.20!A32,Daten!$E$289:$L$391,4,FALSE)</f>
        <v>0</v>
      </c>
      <c r="W20" s="1541" t="str">
        <f t="shared" si="8"/>
        <v/>
      </c>
      <c r="X20" s="1548"/>
      <c r="Y20" s="1543">
        <f>VLOOKUP(Suisse_Bilanz_1.20!B32,Daten!$F$289:$S$391,11,FALSE)</f>
        <v>0</v>
      </c>
      <c r="Z20" s="1759">
        <f t="shared" si="9"/>
        <v>0</v>
      </c>
      <c r="AA20" s="1759">
        <f t="shared" si="10"/>
        <v>0</v>
      </c>
      <c r="AB20" s="1759"/>
      <c r="AC20" s="1538" t="s">
        <v>1430</v>
      </c>
    </row>
    <row r="21" spans="1:29" s="332" customFormat="1">
      <c r="A21" s="1109"/>
      <c r="B21" s="1812" t="str">
        <f>IF(ISNUMBER(F21),Suisse_Bilanz_1.20!B33,"")</f>
        <v/>
      </c>
      <c r="C21" s="311"/>
      <c r="D21" s="428" t="str">
        <f t="shared" si="5"/>
        <v/>
      </c>
      <c r="E21" s="2807" t="str">
        <f>IF(AND(ISNUMBER(F21),LEFT(B21,7)&lt;&gt;"GF-Verz"),Suisse_Bilanz_1.20!F33,"")</f>
        <v/>
      </c>
      <c r="F21" s="2290" t="str">
        <f>IF(AND(ISNUMBER(Suisse_Bilanz_1.20!K33),Suisse_Bilanz_1.20!K33&lt;&gt;0),Suisse_Bilanz_1.20!K33,"")</f>
        <v/>
      </c>
      <c r="G21" s="2307"/>
      <c r="H21" s="2306" t="str">
        <f t="shared" si="11"/>
        <v/>
      </c>
      <c r="I21" s="2308"/>
      <c r="J21" s="2309"/>
      <c r="K21" s="2310"/>
      <c r="L21" s="2305" t="str">
        <f t="shared" si="6"/>
        <v/>
      </c>
      <c r="M21" s="2303" t="str">
        <f t="shared" si="7"/>
        <v/>
      </c>
      <c r="N21" s="2304"/>
      <c r="O21" s="1535" t="str">
        <f t="shared" si="2"/>
        <v/>
      </c>
      <c r="P21" s="1536"/>
      <c r="Q21" s="1537" t="s">
        <v>1535</v>
      </c>
      <c r="S21" s="1538" t="s">
        <v>1430</v>
      </c>
      <c r="T21" s="1544"/>
      <c r="U21" s="1540">
        <f>VLOOKUP($B21,Daten!$F$289:$Q$391,12,FALSE)</f>
        <v>0</v>
      </c>
      <c r="V21" s="1547">
        <f>VLOOKUP(Suisse_Bilanz_1.20!A33,Daten!$E$289:$L$391,4,FALSE)</f>
        <v>0</v>
      </c>
      <c r="W21" s="1541" t="str">
        <f t="shared" si="8"/>
        <v/>
      </c>
      <c r="X21" s="1548"/>
      <c r="Y21" s="1543">
        <f>VLOOKUP(Suisse_Bilanz_1.20!B33,Daten!$F$289:$S$391,11,FALSE)</f>
        <v>0</v>
      </c>
      <c r="Z21" s="1759">
        <f t="shared" si="9"/>
        <v>0</v>
      </c>
      <c r="AA21" s="1759">
        <f t="shared" si="10"/>
        <v>0</v>
      </c>
      <c r="AB21" s="1759"/>
      <c r="AC21" s="1538" t="s">
        <v>1430</v>
      </c>
    </row>
    <row r="22" spans="1:29" s="332" customFormat="1">
      <c r="A22" s="1109"/>
      <c r="B22" s="1292" t="str">
        <f>IF(ISNUMBER(F22),Suisse_Bilanz_1.20!B34,"")</f>
        <v/>
      </c>
      <c r="C22" s="531"/>
      <c r="D22" s="1425" t="str">
        <f t="shared" si="5"/>
        <v/>
      </c>
      <c r="E22" s="2808" t="str">
        <f>IF(AND(ISNUMBER(F22),LEFT(B22,7)&lt;&gt;"GF-Verz"),Suisse_Bilanz_1.20!F34,"")</f>
        <v/>
      </c>
      <c r="F22" s="2311" t="str">
        <f>IF(AND(ISNUMBER(Suisse_Bilanz_1.20!K34),Suisse_Bilanz_1.20!K34&lt;&gt;0),Suisse_Bilanz_1.20!K34,"")</f>
        <v/>
      </c>
      <c r="G22" s="2312"/>
      <c r="H22" s="2313" t="str">
        <f t="shared" si="11"/>
        <v/>
      </c>
      <c r="I22" s="2314"/>
      <c r="J22" s="2315"/>
      <c r="K22" s="2316"/>
      <c r="L22" s="2317" t="str">
        <f t="shared" si="6"/>
        <v/>
      </c>
      <c r="M22" s="2318" t="str">
        <f t="shared" si="7"/>
        <v/>
      </c>
      <c r="N22" s="2319"/>
      <c r="O22" s="1535" t="str">
        <f t="shared" si="2"/>
        <v/>
      </c>
      <c r="P22" s="1536"/>
      <c r="Q22" s="1549" t="s">
        <v>490</v>
      </c>
      <c r="S22" s="1538" t="s">
        <v>1430</v>
      </c>
      <c r="T22" s="1544"/>
      <c r="U22" s="1550">
        <f>VLOOKUP($B22,Daten!$F$289:$Q$391,12,FALSE)</f>
        <v>0</v>
      </c>
      <c r="V22" s="1551">
        <f>VLOOKUP(Suisse_Bilanz_1.20!A34,Daten!$E$289:$L$391,4,FALSE)</f>
        <v>0</v>
      </c>
      <c r="W22" s="1541" t="str">
        <f t="shared" si="8"/>
        <v/>
      </c>
      <c r="X22" s="1548"/>
      <c r="Y22" s="1543">
        <f>VLOOKUP(Suisse_Bilanz_1.20!B34,Daten!$F$289:$S$391,11,FALSE)</f>
        <v>0</v>
      </c>
      <c r="Z22" s="1759">
        <f t="shared" si="9"/>
        <v>0</v>
      </c>
      <c r="AA22" s="1759">
        <f t="shared" si="10"/>
        <v>0</v>
      </c>
      <c r="AB22" s="1759"/>
      <c r="AC22" s="1538" t="s">
        <v>1430</v>
      </c>
    </row>
    <row r="23" spans="1:29" s="332" customFormat="1">
      <c r="A23" s="1109"/>
      <c r="B23" s="708" t="s">
        <v>300</v>
      </c>
      <c r="C23" s="311"/>
      <c r="D23" s="428"/>
      <c r="E23" s="314" t="s">
        <v>295</v>
      </c>
      <c r="F23" s="2320">
        <f>SUM(F11:F22)</f>
        <v>0</v>
      </c>
      <c r="G23" s="1835"/>
      <c r="H23" s="311"/>
      <c r="I23" s="311"/>
      <c r="J23" s="311"/>
      <c r="K23" s="311"/>
      <c r="L23" s="311"/>
      <c r="M23" s="311"/>
      <c r="N23" s="311"/>
      <c r="P23" s="1552"/>
      <c r="Q23" s="1537" t="s">
        <v>386</v>
      </c>
      <c r="S23" s="1538" t="s">
        <v>1430</v>
      </c>
      <c r="T23" s="1544"/>
      <c r="U23" s="1540"/>
      <c r="V23" s="1553"/>
      <c r="W23" s="1548"/>
      <c r="X23" s="1548"/>
      <c r="Y23" s="1554"/>
      <c r="Z23" s="1760"/>
      <c r="AA23" s="1760"/>
      <c r="AB23" s="1760"/>
      <c r="AC23" s="1538" t="s">
        <v>1430</v>
      </c>
    </row>
    <row r="24" spans="1:29" s="332" customFormat="1">
      <c r="A24" s="1109"/>
      <c r="B24" s="1111" t="s">
        <v>298</v>
      </c>
      <c r="C24" s="601"/>
      <c r="D24" s="1218"/>
      <c r="E24" s="1836" t="s">
        <v>539</v>
      </c>
      <c r="F24" s="2320">
        <f>SUMIF(U11:U22,U24,F11:F22)</f>
        <v>0</v>
      </c>
      <c r="G24" s="1835"/>
      <c r="H24" s="314" t="s">
        <v>543</v>
      </c>
      <c r="I24" s="2210">
        <f>SUMIF(U11:U22,U24,I11:I22)</f>
        <v>0</v>
      </c>
      <c r="J24" s="1837"/>
      <c r="K24" s="311"/>
      <c r="L24" s="314" t="s">
        <v>294</v>
      </c>
      <c r="M24" s="2177">
        <f>SUMIF(U11:U22,U24,M11:M22)</f>
        <v>0</v>
      </c>
      <c r="N24" s="2322">
        <f>SUMIF(U11:U22,"RVm",N11:N22)</f>
        <v>0</v>
      </c>
      <c r="P24" s="1552"/>
      <c r="Q24" s="1537" t="s">
        <v>387</v>
      </c>
      <c r="S24" s="1538" t="s">
        <v>1430</v>
      </c>
      <c r="T24" s="1544"/>
      <c r="U24" s="1540" t="s">
        <v>315</v>
      </c>
      <c r="V24" s="1553"/>
      <c r="W24" s="1548"/>
      <c r="X24" s="1548"/>
      <c r="Y24" s="1543"/>
      <c r="Z24" s="1761">
        <f>SUM(Z11:Z22)</f>
        <v>0</v>
      </c>
      <c r="AA24" s="1761">
        <f>SUM(AA11:AA22)</f>
        <v>0</v>
      </c>
      <c r="AB24" s="1807">
        <f>Z24+AA24</f>
        <v>0</v>
      </c>
      <c r="AC24" s="1538" t="s">
        <v>1430</v>
      </c>
    </row>
    <row r="25" spans="1:29" s="332" customFormat="1">
      <c r="A25" s="1109"/>
      <c r="B25" s="311"/>
      <c r="C25" s="311" t="s">
        <v>542</v>
      </c>
      <c r="D25" s="311"/>
      <c r="E25" s="1111" t="s">
        <v>1713</v>
      </c>
      <c r="F25" s="2321">
        <f>F23-F24</f>
        <v>0</v>
      </c>
      <c r="G25" s="1838">
        <f>SUMIF(U17:U22,"GF",G17:G22)</f>
        <v>0</v>
      </c>
      <c r="H25" s="311" t="str">
        <f>IF(G50&gt;(F24+M24+G34+G35)," W&amp;W-Futter-Anteil zu gering bzw. bei RV(x) ist W&amp;W-Futter grösser als ihr GF-Verzehr","A3")</f>
        <v>A3</v>
      </c>
      <c r="I25" s="311"/>
      <c r="J25" s="311"/>
      <c r="K25" s="311"/>
      <c r="L25" s="311"/>
      <c r="M25" s="311"/>
      <c r="N25" s="311"/>
      <c r="O25" s="1715"/>
      <c r="P25" s="1552"/>
      <c r="Q25" s="1549" t="s">
        <v>504</v>
      </c>
      <c r="S25" s="1538" t="s">
        <v>1430</v>
      </c>
      <c r="T25" s="1539" t="s">
        <v>163</v>
      </c>
      <c r="U25" s="1540">
        <f>COUNTIF(U17:U22,T25)</f>
        <v>0</v>
      </c>
      <c r="V25" s="1544"/>
      <c r="W25" s="1544"/>
      <c r="X25" s="1544"/>
      <c r="Y25" s="1544"/>
      <c r="Z25" s="1544"/>
      <c r="AA25" s="1544"/>
      <c r="AB25" s="1544"/>
      <c r="AC25" s="1538" t="s">
        <v>1430</v>
      </c>
    </row>
    <row r="26" spans="1:29" ht="18" customHeight="1">
      <c r="B26" s="320"/>
      <c r="E26" s="1839" t="s">
        <v>540</v>
      </c>
      <c r="F26" s="2265">
        <f>F24+I24*0.88</f>
        <v>0</v>
      </c>
      <c r="G26" s="320" t="s">
        <v>297</v>
      </c>
      <c r="K26" s="320"/>
      <c r="L26" s="320"/>
      <c r="M26" s="320"/>
      <c r="N26" s="320"/>
      <c r="P26" s="1496"/>
      <c r="Q26" s="1537" t="s">
        <v>384</v>
      </c>
      <c r="S26" s="1507" t="s">
        <v>1430</v>
      </c>
      <c r="AC26" s="1507" t="s">
        <v>1430</v>
      </c>
    </row>
    <row r="27" spans="1:29">
      <c r="B27" s="320"/>
      <c r="C27" s="320"/>
      <c r="D27" s="320"/>
      <c r="E27" s="320"/>
      <c r="F27" s="320"/>
      <c r="G27" s="320"/>
      <c r="H27" s="320"/>
      <c r="I27" s="320"/>
      <c r="J27" s="320"/>
      <c r="K27" s="320"/>
      <c r="L27" s="320"/>
      <c r="M27" s="320"/>
      <c r="P27" s="1496"/>
      <c r="Q27" s="1549" t="s">
        <v>388</v>
      </c>
      <c r="S27" s="1507" t="s">
        <v>1430</v>
      </c>
      <c r="AC27" s="1507" t="s">
        <v>1430</v>
      </c>
    </row>
    <row r="28" spans="1:29">
      <c r="B28" s="355" t="s">
        <v>261</v>
      </c>
      <c r="D28" s="320"/>
      <c r="E28" s="320"/>
      <c r="F28" s="1900" t="s">
        <v>291</v>
      </c>
      <c r="G28" s="1901"/>
      <c r="H28" s="607" t="s">
        <v>164</v>
      </c>
      <c r="I28" s="1902" t="s">
        <v>284</v>
      </c>
      <c r="J28" s="1903"/>
      <c r="K28" s="1900" t="s">
        <v>282</v>
      </c>
      <c r="L28" s="1901"/>
      <c r="M28" s="1902" t="s">
        <v>1585</v>
      </c>
      <c r="N28" s="1903"/>
      <c r="P28" s="1496"/>
      <c r="Q28" s="1511" t="s">
        <v>1564</v>
      </c>
      <c r="S28" s="1507" t="s">
        <v>1430</v>
      </c>
      <c r="AC28" s="1507" t="s">
        <v>1430</v>
      </c>
    </row>
    <row r="29" spans="1:29">
      <c r="B29" s="320" t="s">
        <v>328</v>
      </c>
      <c r="C29" s="320"/>
      <c r="D29" s="320"/>
      <c r="E29" s="320"/>
      <c r="F29" s="1841"/>
      <c r="G29" s="1842" t="s">
        <v>165</v>
      </c>
      <c r="I29" s="1841"/>
      <c r="J29" s="1842" t="s">
        <v>165</v>
      </c>
      <c r="K29" s="1841"/>
      <c r="L29" s="1842" t="s">
        <v>165</v>
      </c>
      <c r="M29" s="2413" t="s">
        <v>1591</v>
      </c>
      <c r="N29" s="2414"/>
      <c r="P29" s="1496"/>
      <c r="Q29" s="1511" t="s">
        <v>1565</v>
      </c>
      <c r="S29" s="1507" t="s">
        <v>1430</v>
      </c>
      <c r="AC29" s="1507" t="s">
        <v>1430</v>
      </c>
    </row>
    <row r="30" spans="1:29">
      <c r="B30" s="320"/>
      <c r="C30" s="320"/>
      <c r="D30" s="320"/>
      <c r="E30" s="320"/>
      <c r="F30" s="1843" t="s">
        <v>285</v>
      </c>
      <c r="G30" s="2297">
        <f>Suisse_Bilanz_1.20!H78</f>
        <v>0</v>
      </c>
      <c r="I30" s="1843" t="s">
        <v>281</v>
      </c>
      <c r="J30" s="2299">
        <f>SUM(Suisse_Bilanz_1.20!H66:H69,Suisse_Bilanz_1.20!H72:H77)</f>
        <v>0</v>
      </c>
      <c r="K30" s="1843" t="s">
        <v>283</v>
      </c>
      <c r="L30" s="2297">
        <f>SUM(Suisse_Bilanz_1.20!H61:H65,Suisse_Bilanz_1.20!H70:H71)</f>
        <v>0</v>
      </c>
      <c r="M30" s="2413" t="s">
        <v>1592</v>
      </c>
      <c r="N30" s="397"/>
      <c r="P30" s="1496"/>
      <c r="Q30" s="1511" t="s">
        <v>1566</v>
      </c>
      <c r="S30" s="1507" t="s">
        <v>1430</v>
      </c>
      <c r="AC30" s="1507" t="s">
        <v>1430</v>
      </c>
    </row>
    <row r="31" spans="1:29">
      <c r="B31" s="320"/>
      <c r="C31" s="320"/>
      <c r="D31" s="320"/>
      <c r="E31" s="320"/>
      <c r="F31" s="320"/>
      <c r="G31" s="2298"/>
      <c r="I31" s="320"/>
      <c r="J31" s="2298"/>
      <c r="K31" s="320"/>
      <c r="L31" s="2298"/>
      <c r="M31" s="1841"/>
      <c r="N31" s="1842" t="s">
        <v>165</v>
      </c>
      <c r="P31" s="1496"/>
      <c r="Q31" s="1556" t="s">
        <v>389</v>
      </c>
      <c r="S31" s="1507" t="s">
        <v>1430</v>
      </c>
      <c r="AC31" s="1507" t="s">
        <v>1430</v>
      </c>
    </row>
    <row r="32" spans="1:29">
      <c r="B32" s="355" t="s">
        <v>262</v>
      </c>
      <c r="C32" s="320"/>
      <c r="D32" s="320"/>
      <c r="E32" s="320"/>
      <c r="F32" s="1844" t="s">
        <v>287</v>
      </c>
      <c r="G32" s="2297">
        <f>J32+L32</f>
        <v>0</v>
      </c>
      <c r="I32" s="1843" t="s">
        <v>286</v>
      </c>
      <c r="J32" s="2297">
        <f>Suisse_Bilanz_1.20!BO59</f>
        <v>0</v>
      </c>
      <c r="K32" s="1843" t="s">
        <v>288</v>
      </c>
      <c r="L32" s="2297">
        <f>Suisse_Bilanz_1.20!BO62</f>
        <v>0</v>
      </c>
      <c r="N32" s="2470"/>
      <c r="P32" s="1496"/>
      <c r="Q32" s="1556" t="s">
        <v>390</v>
      </c>
      <c r="S32" s="1507" t="s">
        <v>1430</v>
      </c>
      <c r="AC32" s="1507" t="s">
        <v>1430</v>
      </c>
    </row>
    <row r="33" spans="1:29">
      <c r="B33" s="320" t="s">
        <v>328</v>
      </c>
      <c r="C33" s="320"/>
      <c r="D33" s="320"/>
      <c r="E33" s="320"/>
      <c r="F33" s="1845" t="s">
        <v>168</v>
      </c>
      <c r="G33" s="2263">
        <f>J33+L33+N33</f>
        <v>0</v>
      </c>
      <c r="I33" s="1843" t="s">
        <v>289</v>
      </c>
      <c r="J33" s="2297">
        <f>Suisse_Bilanz_1.20!BP59</f>
        <v>0</v>
      </c>
      <c r="K33" s="1843" t="s">
        <v>290</v>
      </c>
      <c r="L33" s="2297">
        <f>Suisse_Bilanz_1.20!BP62</f>
        <v>0</v>
      </c>
      <c r="M33" s="1843" t="s">
        <v>1590</v>
      </c>
      <c r="N33" s="2297">
        <f>Suisse_Bilanz_1.20!BP65</f>
        <v>0</v>
      </c>
      <c r="S33" s="1507" t="s">
        <v>1430</v>
      </c>
      <c r="AC33" s="1507" t="s">
        <v>1430</v>
      </c>
    </row>
    <row r="34" spans="1:29" ht="12.75">
      <c r="B34" s="320"/>
      <c r="C34" s="1844"/>
      <c r="D34" s="1846"/>
      <c r="E34" s="1846"/>
      <c r="F34" s="1847" t="s">
        <v>1588</v>
      </c>
      <c r="G34" s="2297">
        <f>Suisse_Bilanz_1.20!O52</f>
        <v>0</v>
      </c>
      <c r="I34" s="1844"/>
      <c r="J34" s="1846"/>
      <c r="K34" s="1847" t="s">
        <v>324</v>
      </c>
      <c r="L34" s="2297">
        <f>SUM(Suisse_Bilanz_1.20!O49:O50)</f>
        <v>0</v>
      </c>
      <c r="P34" s="1496" t="s">
        <v>54</v>
      </c>
      <c r="Q34" s="1557" t="s">
        <v>434</v>
      </c>
      <c r="S34" s="1507" t="s">
        <v>1430</v>
      </c>
      <c r="AC34" s="1507" t="s">
        <v>1430</v>
      </c>
    </row>
    <row r="35" spans="1:29" ht="12.75">
      <c r="B35" s="320"/>
      <c r="C35" s="1844"/>
      <c r="D35" s="1846"/>
      <c r="E35" s="1846"/>
      <c r="F35" s="1847" t="s">
        <v>1589</v>
      </c>
      <c r="G35" s="2297">
        <f>Suisse_Bilanz_1.20!O53</f>
        <v>0</v>
      </c>
      <c r="I35" s="320"/>
      <c r="J35" s="320"/>
      <c r="K35" s="320"/>
      <c r="L35" s="320"/>
      <c r="M35" s="320"/>
      <c r="P35" s="1496"/>
      <c r="Q35" s="2164" t="s">
        <v>1534</v>
      </c>
      <c r="R35" s="465" t="s">
        <v>79</v>
      </c>
      <c r="S35" s="1507" t="s">
        <v>1430</v>
      </c>
      <c r="AC35" s="1507" t="s">
        <v>1430</v>
      </c>
    </row>
    <row r="36" spans="1:29">
      <c r="B36" s="320"/>
      <c r="C36" s="320"/>
      <c r="D36" s="320"/>
      <c r="E36" s="320"/>
      <c r="F36" s="320"/>
      <c r="G36" s="320"/>
      <c r="H36" s="320"/>
      <c r="I36" s="320"/>
      <c r="J36" s="320"/>
      <c r="K36" s="320"/>
      <c r="L36" s="320"/>
      <c r="M36" s="320"/>
      <c r="S36" s="1507" t="s">
        <v>1430</v>
      </c>
      <c r="AC36" s="1507" t="s">
        <v>1430</v>
      </c>
    </row>
    <row r="37" spans="1:29" ht="18.75" customHeight="1">
      <c r="A37" s="2696"/>
      <c r="B37" s="1840" t="s">
        <v>541</v>
      </c>
      <c r="C37" s="1848"/>
      <c r="D37" s="1848"/>
      <c r="E37" s="1848"/>
      <c r="F37" s="1848"/>
      <c r="G37" s="1849"/>
      <c r="H37" s="1849"/>
      <c r="I37" s="1849"/>
      <c r="J37" s="1849"/>
      <c r="K37" s="1849"/>
      <c r="L37" s="1849"/>
      <c r="M37" s="1849"/>
      <c r="O37" s="1849"/>
      <c r="P37" s="1496" t="s">
        <v>54</v>
      </c>
      <c r="Q37" s="1558" t="s">
        <v>401</v>
      </c>
      <c r="R37" s="1494"/>
      <c r="S37" s="1559" t="s">
        <v>1430</v>
      </c>
      <c r="T37" s="1560"/>
      <c r="U37" s="1561"/>
      <c r="V37" s="1560"/>
      <c r="Z37" s="1560"/>
      <c r="AA37" s="1560"/>
      <c r="AB37" s="1560"/>
      <c r="AC37" s="1559" t="s">
        <v>1430</v>
      </c>
    </row>
    <row r="38" spans="1:29" ht="12.75">
      <c r="B38" s="1850"/>
      <c r="C38" s="1851"/>
      <c r="D38" s="1851"/>
      <c r="E38" s="1852" t="s">
        <v>646</v>
      </c>
      <c r="F38" s="1853"/>
      <c r="G38" s="1817" t="s">
        <v>263</v>
      </c>
      <c r="H38" s="1854"/>
      <c r="I38" s="1817" t="s">
        <v>1586</v>
      </c>
      <c r="J38" s="1854"/>
      <c r="K38" s="1817"/>
      <c r="L38" s="1854"/>
      <c r="M38" s="1852" t="s">
        <v>117</v>
      </c>
      <c r="N38" s="1853"/>
      <c r="O38" s="1849"/>
      <c r="P38" s="1562"/>
      <c r="Q38" s="1563" t="s">
        <v>399</v>
      </c>
      <c r="R38" s="1494"/>
      <c r="S38" s="1559" t="s">
        <v>1430</v>
      </c>
      <c r="T38" s="1560"/>
      <c r="U38" s="1561"/>
      <c r="V38" s="1560"/>
      <c r="Z38" s="1560"/>
      <c r="AA38" s="1560"/>
      <c r="AB38" s="1560"/>
      <c r="AC38" s="1559" t="s">
        <v>1430</v>
      </c>
    </row>
    <row r="39" spans="1:29" ht="12.75">
      <c r="B39" s="1855"/>
      <c r="C39" s="1849"/>
      <c r="D39" s="1849"/>
      <c r="E39" s="1856" t="s">
        <v>279</v>
      </c>
      <c r="F39" s="1857"/>
      <c r="G39" s="1858" t="s">
        <v>264</v>
      </c>
      <c r="H39" s="1565"/>
      <c r="I39" s="2406" t="s">
        <v>1587</v>
      </c>
      <c r="J39" s="1565"/>
      <c r="K39" s="2406" t="s">
        <v>1596</v>
      </c>
      <c r="L39" s="1565"/>
      <c r="M39" s="2415" t="s">
        <v>411</v>
      </c>
      <c r="N39" s="1859"/>
      <c r="O39" s="1849"/>
      <c r="P39" s="1562"/>
      <c r="Q39" s="1564" t="s">
        <v>402</v>
      </c>
      <c r="R39" s="1494"/>
      <c r="S39" s="1559" t="s">
        <v>1430</v>
      </c>
      <c r="T39" s="1560"/>
      <c r="U39" s="1561"/>
      <c r="V39" s="1560"/>
      <c r="Z39" s="1560"/>
      <c r="AA39" s="1560"/>
      <c r="AB39" s="1560"/>
      <c r="AC39" s="1559" t="s">
        <v>1430</v>
      </c>
    </row>
    <row r="40" spans="1:29" ht="12.75">
      <c r="B40" s="1855"/>
      <c r="C40" s="1849"/>
      <c r="D40" s="1849"/>
      <c r="E40" s="2407" t="s">
        <v>1689</v>
      </c>
      <c r="F40" s="2408"/>
      <c r="G40" s="2409" t="s">
        <v>308</v>
      </c>
      <c r="H40" s="2408"/>
      <c r="I40" s="2519" t="s">
        <v>1714</v>
      </c>
      <c r="J40" s="2410"/>
      <c r="K40" s="2409" t="s">
        <v>1597</v>
      </c>
      <c r="L40" s="2410"/>
      <c r="M40" s="2411" t="s">
        <v>1598</v>
      </c>
      <c r="N40" s="2412"/>
      <c r="O40" s="1849"/>
      <c r="P40" s="1562"/>
      <c r="Q40" s="3626" t="s">
        <v>400</v>
      </c>
      <c r="R40" s="1494"/>
      <c r="S40" s="1559" t="s">
        <v>1430</v>
      </c>
      <c r="T40" s="1560"/>
      <c r="U40" s="1561"/>
      <c r="V40" s="1560"/>
      <c r="W40" s="1566" t="s">
        <v>310</v>
      </c>
      <c r="Z40" s="1560"/>
      <c r="AA40" s="1560"/>
      <c r="AB40" s="1560"/>
      <c r="AC40" s="1559" t="s">
        <v>1430</v>
      </c>
    </row>
    <row r="41" spans="1:29" ht="12.75">
      <c r="B41" s="1860"/>
      <c r="C41" s="1861"/>
      <c r="D41" s="1861"/>
      <c r="E41" s="1834" t="s">
        <v>584</v>
      </c>
      <c r="F41" s="1862" t="s">
        <v>266</v>
      </c>
      <c r="G41" s="1834" t="s">
        <v>584</v>
      </c>
      <c r="H41" s="1862" t="s">
        <v>266</v>
      </c>
      <c r="I41" s="1834" t="s">
        <v>584</v>
      </c>
      <c r="J41" s="1862" t="s">
        <v>266</v>
      </c>
      <c r="K41" s="1834" t="s">
        <v>584</v>
      </c>
      <c r="L41" s="1862" t="s">
        <v>266</v>
      </c>
      <c r="M41" s="1834" t="s">
        <v>584</v>
      </c>
      <c r="N41" s="1862" t="s">
        <v>266</v>
      </c>
      <c r="O41" s="1849"/>
      <c r="P41" s="1562"/>
      <c r="Q41" s="3626"/>
      <c r="R41" s="1494"/>
      <c r="S41" s="1559" t="s">
        <v>1430</v>
      </c>
      <c r="T41" s="1560"/>
      <c r="U41" s="1561"/>
      <c r="V41" s="1568" t="s">
        <v>419</v>
      </c>
      <c r="W41" s="1499" t="s">
        <v>420</v>
      </c>
      <c r="Z41" s="1560"/>
      <c r="AA41" s="1560"/>
      <c r="AB41" s="1560"/>
      <c r="AC41" s="1559" t="s">
        <v>1430</v>
      </c>
    </row>
    <row r="42" spans="1:29" ht="12.75">
      <c r="B42" s="1863" t="s">
        <v>280</v>
      </c>
      <c r="C42" s="1864"/>
      <c r="D42" s="1864"/>
      <c r="E42" s="2289">
        <f>F26</f>
        <v>0</v>
      </c>
      <c r="F42" s="1865"/>
      <c r="G42" s="2419"/>
      <c r="H42" s="2420"/>
      <c r="I42" s="2421"/>
      <c r="J42" s="2420"/>
      <c r="K42" s="2421"/>
      <c r="L42" s="2420"/>
      <c r="M42" s="2419"/>
      <c r="N42" s="2420"/>
      <c r="O42" s="1849"/>
      <c r="P42" s="1562"/>
      <c r="Q42" s="2391" t="s">
        <v>1896</v>
      </c>
      <c r="R42" s="1494"/>
      <c r="S42" s="1559" t="s">
        <v>1430</v>
      </c>
      <c r="T42" s="1560"/>
      <c r="U42" s="1561"/>
      <c r="V42" s="1568" t="s">
        <v>418</v>
      </c>
      <c r="W42" s="1499" t="s">
        <v>421</v>
      </c>
      <c r="Z42" s="1560"/>
      <c r="AA42" s="1560"/>
      <c r="AB42" s="1560"/>
      <c r="AC42" s="1559" t="s">
        <v>1430</v>
      </c>
    </row>
    <row r="43" spans="1:29">
      <c r="B43" s="1866" t="s">
        <v>268</v>
      </c>
      <c r="C43" s="1867"/>
      <c r="D43" s="1867"/>
      <c r="E43" s="2290">
        <f>SUM(G34:G35)</f>
        <v>0</v>
      </c>
      <c r="F43" s="1868"/>
      <c r="G43" s="2421"/>
      <c r="H43" s="2422"/>
      <c r="I43" s="2421"/>
      <c r="J43" s="2422"/>
      <c r="K43" s="2421"/>
      <c r="L43" s="2422"/>
      <c r="M43" s="2421"/>
      <c r="N43" s="2422"/>
      <c r="O43" s="1849"/>
      <c r="P43" s="1562"/>
      <c r="Q43" s="2391" t="s">
        <v>1897</v>
      </c>
      <c r="R43" s="1494"/>
      <c r="S43" s="1559"/>
      <c r="T43" s="1560"/>
      <c r="U43" s="1561"/>
      <c r="V43" s="1560"/>
      <c r="W43" s="1499" t="s">
        <v>422</v>
      </c>
      <c r="Z43" s="1560"/>
      <c r="AA43" s="1560"/>
      <c r="AB43" s="1560"/>
      <c r="AC43" s="1559" t="s">
        <v>1430</v>
      </c>
    </row>
    <row r="44" spans="1:29" ht="12.75">
      <c r="B44" s="1869" t="s">
        <v>269</v>
      </c>
      <c r="C44" s="1870"/>
      <c r="D44" s="1870"/>
      <c r="E44" s="2291">
        <f>M24+N24*0.88</f>
        <v>0</v>
      </c>
      <c r="F44" s="1871"/>
      <c r="G44" s="2423"/>
      <c r="H44" s="2424"/>
      <c r="I44" s="2423"/>
      <c r="J44" s="2424"/>
      <c r="K44" s="2423"/>
      <c r="L44" s="2424"/>
      <c r="M44" s="2423"/>
      <c r="N44" s="2424"/>
      <c r="O44" s="1849"/>
      <c r="P44" s="1562"/>
      <c r="Q44" s="2391" t="s">
        <v>1901</v>
      </c>
      <c r="R44" s="1494"/>
      <c r="S44" s="1559" t="s">
        <v>1430</v>
      </c>
      <c r="T44" s="1560"/>
      <c r="U44" s="1561"/>
      <c r="V44" s="1560"/>
      <c r="X44" s="1560"/>
      <c r="Y44" s="1560"/>
      <c r="Z44" s="1560"/>
      <c r="AA44" s="1560"/>
      <c r="AB44" s="1560"/>
      <c r="AC44" s="1559" t="s">
        <v>1430</v>
      </c>
    </row>
    <row r="45" spans="1:29" ht="12.75">
      <c r="B45" s="1872" t="s">
        <v>270</v>
      </c>
      <c r="C45" s="1873"/>
      <c r="D45" s="1873"/>
      <c r="E45" s="2425"/>
      <c r="F45" s="2422"/>
      <c r="G45" s="2290">
        <f>J30</f>
        <v>0</v>
      </c>
      <c r="H45" s="1868"/>
      <c r="I45" s="2290">
        <f>L30</f>
        <v>0</v>
      </c>
      <c r="J45" s="1868"/>
      <c r="K45" s="2428"/>
      <c r="L45" s="2422"/>
      <c r="M45" s="2428"/>
      <c r="N45" s="2422"/>
      <c r="O45" s="1849"/>
      <c r="P45" s="1562"/>
      <c r="Q45" s="2391" t="s">
        <v>1902</v>
      </c>
      <c r="R45" s="1494"/>
      <c r="S45" s="1559" t="s">
        <v>1430</v>
      </c>
      <c r="T45" s="1560"/>
      <c r="U45" s="1561"/>
      <c r="V45" s="1560"/>
      <c r="W45" s="1569" t="s">
        <v>311</v>
      </c>
      <c r="X45" s="3623" t="s">
        <v>304</v>
      </c>
      <c r="Y45" s="3624"/>
      <c r="Z45" s="1560"/>
      <c r="AA45" s="1560"/>
      <c r="AB45" s="1560"/>
      <c r="AC45" s="1559" t="s">
        <v>1430</v>
      </c>
    </row>
    <row r="46" spans="1:29" ht="12.75">
      <c r="B46" s="1866" t="s">
        <v>271</v>
      </c>
      <c r="C46" s="1867"/>
      <c r="D46" s="1867"/>
      <c r="E46" s="2425"/>
      <c r="F46" s="2422"/>
      <c r="G46" s="2293">
        <f>J33</f>
        <v>0</v>
      </c>
      <c r="H46" s="1868"/>
      <c r="I46" s="2290">
        <f>L33+L34</f>
        <v>0</v>
      </c>
      <c r="J46" s="1868"/>
      <c r="K46" s="2418">
        <f>N33</f>
        <v>0</v>
      </c>
      <c r="L46" s="1868"/>
      <c r="M46" s="2290">
        <f>I24*0.88</f>
        <v>0</v>
      </c>
      <c r="N46" s="1868"/>
      <c r="O46" s="1849"/>
      <c r="P46" s="1562"/>
      <c r="Q46" s="2391" t="s">
        <v>1910</v>
      </c>
      <c r="R46" s="1494"/>
      <c r="S46" s="1559" t="s">
        <v>1430</v>
      </c>
      <c r="T46" s="1560"/>
      <c r="U46" s="1561"/>
      <c r="V46" s="1560"/>
      <c r="W46" s="1570" t="s">
        <v>1430</v>
      </c>
      <c r="X46" s="1571" t="s">
        <v>312</v>
      </c>
      <c r="Y46" s="1571" t="s">
        <v>313</v>
      </c>
      <c r="Z46" s="1560"/>
      <c r="AA46" s="1560"/>
      <c r="AB46" s="1560"/>
      <c r="AC46" s="1559" t="s">
        <v>1430</v>
      </c>
    </row>
    <row r="47" spans="1:29" ht="12.75">
      <c r="B47" s="1866" t="s">
        <v>272</v>
      </c>
      <c r="C47" s="1867"/>
      <c r="D47" s="1867"/>
      <c r="E47" s="2425"/>
      <c r="F47" s="2422"/>
      <c r="G47" s="2290">
        <f>M24</f>
        <v>0</v>
      </c>
      <c r="H47" s="1868"/>
      <c r="I47" s="2426"/>
      <c r="J47" s="2422"/>
      <c r="K47" s="2427"/>
      <c r="L47" s="2422"/>
      <c r="M47" s="2290">
        <f>N24*0.88</f>
        <v>0</v>
      </c>
      <c r="N47" s="1868"/>
      <c r="O47" s="1849"/>
      <c r="P47" s="1562"/>
      <c r="Q47" s="2391" t="s">
        <v>1911</v>
      </c>
      <c r="R47" s="1494"/>
      <c r="S47" s="1559" t="s">
        <v>1430</v>
      </c>
      <c r="T47" s="1560"/>
      <c r="U47" s="1561"/>
      <c r="V47" s="1568" t="s">
        <v>418</v>
      </c>
      <c r="W47" s="1572" t="s">
        <v>274</v>
      </c>
      <c r="X47" s="1573">
        <v>0.75</v>
      </c>
      <c r="Y47" s="1574">
        <v>0.85</v>
      </c>
      <c r="Z47" s="1575"/>
      <c r="AA47" s="1575"/>
      <c r="AB47" s="1575"/>
      <c r="AC47" s="1559" t="s">
        <v>1430</v>
      </c>
    </row>
    <row r="48" spans="1:29" ht="12.75">
      <c r="B48" s="1866" t="s">
        <v>273</v>
      </c>
      <c r="C48" s="1867"/>
      <c r="D48" s="1867"/>
      <c r="E48" s="2425"/>
      <c r="F48" s="2422"/>
      <c r="G48" s="2294">
        <f>J32</f>
        <v>0</v>
      </c>
      <c r="H48" s="1868"/>
      <c r="I48" s="2296">
        <f>L32</f>
        <v>0</v>
      </c>
      <c r="J48" s="1868"/>
      <c r="K48" s="2425"/>
      <c r="L48" s="2422"/>
      <c r="M48" s="2427"/>
      <c r="N48" s="2422"/>
      <c r="O48" s="1849"/>
      <c r="P48" s="1562"/>
      <c r="Q48" s="2391"/>
      <c r="R48" s="1494"/>
      <c r="S48" s="1559" t="s">
        <v>1430</v>
      </c>
      <c r="T48" s="1560"/>
      <c r="U48" s="1561"/>
      <c r="V48" s="1560"/>
      <c r="W48" s="1576" t="s">
        <v>265</v>
      </c>
      <c r="X48" s="1574">
        <v>0.15</v>
      </c>
      <c r="Y48" s="1574">
        <v>0.05</v>
      </c>
      <c r="Z48" s="1575"/>
      <c r="AA48" s="1575"/>
      <c r="AB48" s="1575"/>
      <c r="AC48" s="1559" t="s">
        <v>1430</v>
      </c>
    </row>
    <row r="49" spans="1:29" ht="12.75">
      <c r="B49" s="1874" t="s">
        <v>275</v>
      </c>
      <c r="C49" s="1875"/>
      <c r="D49" s="1875"/>
      <c r="E49" s="2425"/>
      <c r="F49" s="2422"/>
      <c r="G49" s="2295">
        <f>-G25</f>
        <v>0</v>
      </c>
      <c r="H49" s="1871"/>
      <c r="I49" s="2295">
        <f>-(F25-G25)</f>
        <v>0</v>
      </c>
      <c r="J49" s="1871"/>
      <c r="K49" s="2425"/>
      <c r="L49" s="2424"/>
      <c r="M49" s="2421"/>
      <c r="N49" s="2424"/>
      <c r="O49" s="2477" t="s">
        <v>1690</v>
      </c>
      <c r="P49" s="1562"/>
      <c r="Q49" s="2391" t="s">
        <v>1903</v>
      </c>
      <c r="R49" s="1494"/>
      <c r="S49" s="1559" t="s">
        <v>1430</v>
      </c>
      <c r="T49" s="1560"/>
      <c r="U49" s="1561"/>
      <c r="V49" s="1560"/>
      <c r="W49" s="1570" t="s">
        <v>1416</v>
      </c>
      <c r="X49" s="1577">
        <v>0.1</v>
      </c>
      <c r="Y49" s="1577">
        <v>0.1</v>
      </c>
      <c r="Z49" s="1575"/>
      <c r="AA49" s="1575"/>
      <c r="AB49" s="1575"/>
      <c r="AC49" s="1559" t="s">
        <v>1430</v>
      </c>
    </row>
    <row r="50" spans="1:29" ht="15.95" customHeight="1">
      <c r="B50" s="1876" t="s">
        <v>296</v>
      </c>
      <c r="C50" s="1877"/>
      <c r="D50" s="1877"/>
      <c r="E50" s="2292">
        <f>SUM(E42:E49)</f>
        <v>0</v>
      </c>
      <c r="F50" s="1878">
        <v>1</v>
      </c>
      <c r="G50" s="2292">
        <f>IF(SUM(G42:G49)&lt;0,"Fehler",SUM(G42:G49))</f>
        <v>0</v>
      </c>
      <c r="H50" s="1879" t="e">
        <f>G50/E50</f>
        <v>#DIV/0!</v>
      </c>
      <c r="I50" s="2292">
        <f>IF(SUM(I42:I49)&lt;0,"Fehler",SUM(I42:I49))</f>
        <v>0</v>
      </c>
      <c r="J50" s="1879" t="e">
        <f>I50/E50</f>
        <v>#DIV/0!</v>
      </c>
      <c r="K50" s="2292">
        <f>IF(SUM(K42:K49)&lt;0,"Fehler",SUM(K42:K49))</f>
        <v>0</v>
      </c>
      <c r="L50" s="1879" t="e">
        <f>K50/E50</f>
        <v>#DIV/0!</v>
      </c>
      <c r="M50" s="2292">
        <f>IF(SUM(M42:M49)&lt;0,"Fehler",SUM(M42:M49))</f>
        <v>0</v>
      </c>
      <c r="N50" s="1879" t="e">
        <f>M50/E50</f>
        <v>#DIV/0!</v>
      </c>
      <c r="O50" s="2525" t="e">
        <f>N50+L50</f>
        <v>#DIV/0!</v>
      </c>
      <c r="P50" s="1562"/>
      <c r="Q50" s="2391" t="s">
        <v>1904</v>
      </c>
      <c r="R50" s="1494"/>
      <c r="S50" s="1559" t="s">
        <v>1430</v>
      </c>
      <c r="T50" s="1560"/>
      <c r="U50" s="1561"/>
      <c r="V50" s="1568" t="s">
        <v>419</v>
      </c>
      <c r="W50" s="1578" t="s">
        <v>267</v>
      </c>
      <c r="X50" s="1574">
        <v>0.9</v>
      </c>
      <c r="Y50" s="1574">
        <v>0.9</v>
      </c>
      <c r="Z50" s="1575"/>
      <c r="AA50" s="1575"/>
      <c r="AB50" s="1575"/>
      <c r="AC50" s="1559" t="s">
        <v>1430</v>
      </c>
    </row>
    <row r="51" spans="1:29" ht="3" customHeight="1">
      <c r="B51" s="1848"/>
      <c r="C51" s="1848"/>
      <c r="D51" s="1848"/>
      <c r="E51" s="2479"/>
      <c r="F51" s="2480"/>
      <c r="G51" s="2479"/>
      <c r="H51" s="2483"/>
      <c r="I51" s="2479"/>
      <c r="J51" s="2481"/>
      <c r="K51" s="2479"/>
      <c r="L51" s="2484"/>
      <c r="M51" s="2479"/>
      <c r="N51" s="2483"/>
      <c r="O51" s="2478"/>
      <c r="P51" s="1562"/>
      <c r="Q51" s="2391"/>
      <c r="R51" s="1494"/>
      <c r="S51" s="1559"/>
      <c r="T51" s="1560"/>
      <c r="U51" s="1561"/>
      <c r="V51" s="1568"/>
      <c r="W51" s="1560"/>
      <c r="X51" s="2482"/>
      <c r="Y51" s="2482"/>
      <c r="Z51" s="1575"/>
      <c r="AA51" s="1575"/>
      <c r="AB51" s="1575"/>
      <c r="AC51" s="1559"/>
    </row>
    <row r="52" spans="1:29" ht="15.95" customHeight="1">
      <c r="B52" s="1880" t="str">
        <f>"Erforderliche Anteile an der Ration: "&amp;K5</f>
        <v xml:space="preserve">Erforderliche Anteile an der Ration:    </v>
      </c>
      <c r="C52" s="1880"/>
      <c r="D52" s="1880"/>
      <c r="E52" s="1880"/>
      <c r="F52" s="1881"/>
      <c r="G52" s="1882" t="s">
        <v>276</v>
      </c>
      <c r="H52" s="1883" t="str">
        <f>IF(K5="Talgebiet",X47,IF(K5="Berggebiet",Y47,"Gebietszuteilung fehlt"))</f>
        <v>Gebietszuteilung fehlt</v>
      </c>
      <c r="K52" s="2430" t="s">
        <v>1712</v>
      </c>
      <c r="L52" s="2429">
        <v>0.15</v>
      </c>
      <c r="M52" s="1884" t="s">
        <v>277</v>
      </c>
      <c r="N52" s="1883">
        <v>0.1</v>
      </c>
      <c r="O52" s="1849"/>
      <c r="P52" s="1562"/>
      <c r="Q52" s="2472" t="s">
        <v>1905</v>
      </c>
      <c r="R52" s="1494"/>
      <c r="S52" s="1559" t="s">
        <v>1430</v>
      </c>
      <c r="T52" s="1560"/>
      <c r="U52" s="1561"/>
      <c r="V52" s="1560"/>
      <c r="W52" s="1575"/>
      <c r="X52" s="1575"/>
      <c r="Y52" s="1575"/>
      <c r="Z52" s="1575"/>
      <c r="AA52" s="1575"/>
      <c r="AB52" s="1575"/>
      <c r="AC52" s="1559" t="s">
        <v>1430</v>
      </c>
    </row>
    <row r="53" spans="1:29" ht="3" customHeight="1">
      <c r="B53" s="1885"/>
      <c r="C53" s="1880"/>
      <c r="D53" s="1880"/>
      <c r="E53" s="1880"/>
      <c r="F53" s="1886" t="s">
        <v>258</v>
      </c>
      <c r="G53" s="1887"/>
      <c r="H53" s="1880"/>
      <c r="I53" s="1888"/>
      <c r="J53" s="1889"/>
      <c r="K53" s="1849"/>
      <c r="L53" s="1890"/>
      <c r="M53" s="1891"/>
      <c r="N53" s="320"/>
      <c r="O53" s="1849"/>
      <c r="P53" s="1562"/>
      <c r="Q53" s="1567"/>
      <c r="R53" s="1494"/>
      <c r="S53" s="1559" t="s">
        <v>1430</v>
      </c>
      <c r="T53" s="1560"/>
      <c r="U53" s="1561"/>
      <c r="V53" s="1560"/>
      <c r="W53" s="1575"/>
      <c r="X53" s="1575"/>
      <c r="Y53" s="1575"/>
      <c r="Z53" s="1575"/>
      <c r="AA53" s="1575"/>
      <c r="AB53" s="1575"/>
      <c r="AC53" s="1559" t="s">
        <v>1430</v>
      </c>
    </row>
    <row r="54" spans="1:29">
      <c r="B54" s="1579" t="str">
        <f>IF(OR(H54="ja",H54="nein"),"Erfüllung der erforderlichen Anteile an der Ration","")</f>
        <v/>
      </c>
      <c r="C54" s="1579"/>
      <c r="D54" s="1579"/>
      <c r="E54" s="1579"/>
      <c r="F54" s="1494"/>
      <c r="G54" s="1579"/>
      <c r="H54" s="1580" t="str">
        <f>IF(LEFT(H52,5)="Gebie", "Gebietszuteilung vornehmen (weiter oben)",IF(I50="Fehler","Summe 'übriges GF' ist negativ ",IF(AND(ISNUMBER(I50),H50&lt;1.0001, H50&gt;=H52),"ja","nein")))</f>
        <v>Gebietszuteilung vornehmen (weiter oben)</v>
      </c>
      <c r="J54" s="1581"/>
      <c r="K54" s="1581"/>
      <c r="L54" s="2431" t="e">
        <f>IF((L50+N50)&lt;=L52,"ja","nein, Nebenpr.+Kraftfu. &gt; 15%")</f>
        <v>#DIV/0!</v>
      </c>
      <c r="N54" s="1582" t="e">
        <f>IF(N50&lt;=N52,"ja","nein")</f>
        <v>#DIV/0!</v>
      </c>
      <c r="O54" s="1849"/>
      <c r="P54" s="1562"/>
      <c r="Q54" s="2391" t="s">
        <v>1906</v>
      </c>
      <c r="R54" s="1494"/>
      <c r="S54" s="1559" t="s">
        <v>1430</v>
      </c>
      <c r="T54" s="1560"/>
      <c r="U54" s="1561"/>
      <c r="V54" s="1560"/>
      <c r="W54" s="1575"/>
      <c r="X54" s="1575"/>
      <c r="Y54" s="1575"/>
      <c r="Z54" s="1575"/>
      <c r="AA54" s="1575"/>
      <c r="AB54" s="1575"/>
      <c r="AC54" s="1559" t="s">
        <v>1430</v>
      </c>
    </row>
    <row r="55" spans="1:29" ht="12" customHeight="1">
      <c r="B55" s="1724" t="str">
        <f>IF(AND(Suisse_Bilanz_1.20!K7 = "BIO",H55=""), "Erfüllung des Anteils Kraftfutter nach Bio-Suisse-Richtlinie (max. 5% )","")</f>
        <v/>
      </c>
      <c r="C55" s="1881"/>
      <c r="D55" s="1881"/>
      <c r="E55" s="1881"/>
      <c r="F55" s="1849"/>
      <c r="G55" s="1881"/>
      <c r="H55" s="2468" t="str">
        <f>VLOOKUP(1,X58:Y60,2,FALSE)</f>
        <v/>
      </c>
      <c r="I55" s="1880"/>
      <c r="J55" s="1880"/>
      <c r="K55" s="1880"/>
      <c r="L55" s="1880"/>
      <c r="M55" s="1892"/>
      <c r="N55" s="1582" t="str">
        <f>IF(Suisse_Bilanz_1.20!K7 &lt;&gt; "BIO", "",IF(N50&lt;=0.05,"ja","nein"))</f>
        <v/>
      </c>
      <c r="O55" s="1849"/>
      <c r="P55" s="1562"/>
      <c r="Q55" s="1567"/>
      <c r="R55" s="1494"/>
      <c r="S55" s="1559" t="s">
        <v>1430</v>
      </c>
      <c r="T55" s="1560"/>
      <c r="U55" s="1561"/>
      <c r="V55" s="1560"/>
      <c r="W55" s="1575"/>
      <c r="X55" s="1575"/>
      <c r="Y55" s="1575"/>
      <c r="Z55" s="1575"/>
      <c r="AA55" s="1575"/>
      <c r="AB55" s="1575"/>
      <c r="AC55" s="1559" t="s">
        <v>1430</v>
      </c>
    </row>
    <row r="56" spans="1:29" ht="21" customHeight="1">
      <c r="B56" s="1583" t="s">
        <v>309</v>
      </c>
      <c r="C56" s="1584"/>
      <c r="D56" s="1584"/>
      <c r="E56" s="1584"/>
      <c r="F56" s="1584"/>
      <c r="G56" s="1584"/>
      <c r="H56" s="1494"/>
      <c r="I56" s="1585" t="s">
        <v>278</v>
      </c>
      <c r="J56" s="1584"/>
      <c r="K56" s="1584"/>
      <c r="L56" s="1584"/>
      <c r="M56" s="1584"/>
      <c r="N56" s="320"/>
      <c r="O56" s="1849"/>
      <c r="P56" s="1562"/>
      <c r="Q56" s="2391" t="s">
        <v>1912</v>
      </c>
      <c r="R56" s="1494"/>
      <c r="S56" s="1559" t="s">
        <v>1430</v>
      </c>
      <c r="T56" s="2453"/>
      <c r="U56" s="2456" t="s">
        <v>1671</v>
      </c>
      <c r="V56" s="2453"/>
      <c r="W56" s="2457"/>
      <c r="X56" s="2457" t="s">
        <v>1254</v>
      </c>
      <c r="Y56" s="2457"/>
      <c r="Z56" s="2457"/>
      <c r="AA56" s="2457"/>
      <c r="AB56" s="2457"/>
      <c r="AC56" s="1559" t="s">
        <v>1430</v>
      </c>
    </row>
    <row r="57" spans="1:29" ht="12.75">
      <c r="B57" s="1849"/>
      <c r="C57" s="1849"/>
      <c r="D57" s="1849"/>
      <c r="E57" s="1849"/>
      <c r="F57" s="1849"/>
      <c r="G57" s="1849"/>
      <c r="H57" s="1849"/>
      <c r="I57" s="1849"/>
      <c r="J57" s="1849"/>
      <c r="K57" s="1849"/>
      <c r="L57" s="1849"/>
      <c r="M57" s="1849"/>
      <c r="O57" s="1849"/>
      <c r="P57" s="1562"/>
      <c r="Q57" s="2391" t="s">
        <v>1913</v>
      </c>
      <c r="R57" s="1494"/>
      <c r="S57" s="1559" t="s">
        <v>1430</v>
      </c>
      <c r="T57" s="2453"/>
      <c r="U57" s="2461" t="s">
        <v>1254</v>
      </c>
      <c r="V57" s="2462"/>
      <c r="W57" s="2462"/>
      <c r="X57" s="2463" t="s">
        <v>1248</v>
      </c>
      <c r="Y57" s="2462" t="s">
        <v>1249</v>
      </c>
      <c r="Z57" s="2462"/>
      <c r="AA57" s="2453"/>
      <c r="AB57" s="2453"/>
      <c r="AC57" s="1559" t="s">
        <v>1430</v>
      </c>
    </row>
    <row r="58" spans="1:29" ht="12.75">
      <c r="B58" s="1849"/>
      <c r="C58" s="1849"/>
      <c r="D58" s="1849"/>
      <c r="E58" s="1849"/>
      <c r="F58" s="1849"/>
      <c r="G58" s="1849"/>
      <c r="H58" s="1849"/>
      <c r="I58" s="1849"/>
      <c r="J58" s="1849"/>
      <c r="K58" s="1849"/>
      <c r="L58" s="1849"/>
      <c r="M58" s="1849"/>
      <c r="N58" s="1849"/>
      <c r="O58" s="1751" t="s">
        <v>507</v>
      </c>
      <c r="P58" s="1562"/>
      <c r="Q58" s="2391"/>
      <c r="R58" s="1494"/>
      <c r="S58" s="1559" t="s">
        <v>1430</v>
      </c>
      <c r="T58" s="2453">
        <v>1</v>
      </c>
      <c r="U58" s="2464" t="s">
        <v>1672</v>
      </c>
      <c r="V58" s="2459"/>
      <c r="W58" s="2453"/>
      <c r="X58" s="2458">
        <f>IF(IFERROR(SEARCH("Grundfutter",Suisse_Bilanz_1.20!H166),0)&gt;0,1,0)</f>
        <v>0</v>
      </c>
      <c r="Y58" s="2467" t="str">
        <f>IF(X58=1," Vor dem Drucken zuerst die GF-Rechnung in der Suisse-Bilanz in Ordnung bringen!","")</f>
        <v/>
      </c>
      <c r="Z58" s="2453"/>
      <c r="AA58" s="2453"/>
      <c r="AB58" s="2453"/>
      <c r="AC58" s="1559" t="s">
        <v>1430</v>
      </c>
    </row>
    <row r="59" spans="1:29">
      <c r="B59" s="1849"/>
      <c r="C59" s="1849"/>
      <c r="D59" s="1849"/>
      <c r="E59" s="1849"/>
      <c r="F59" s="1849"/>
      <c r="G59" s="1849"/>
      <c r="H59" s="1849"/>
      <c r="I59" s="1849"/>
      <c r="J59" s="1849"/>
      <c r="K59" s="1849"/>
      <c r="L59" s="1849"/>
      <c r="M59" s="1849"/>
      <c r="N59" s="1849"/>
      <c r="O59" s="1752" t="s">
        <v>512</v>
      </c>
      <c r="P59" s="1562"/>
      <c r="Q59" s="2471" t="s">
        <v>1909</v>
      </c>
      <c r="R59" s="1494"/>
      <c r="S59" s="1559" t="s">
        <v>1430</v>
      </c>
      <c r="T59" s="2453">
        <v>2</v>
      </c>
      <c r="U59" s="2464" t="s">
        <v>1691</v>
      </c>
      <c r="V59" s="2453"/>
      <c r="W59" s="2453"/>
      <c r="X59" s="2458">
        <f>IF(OR(I50&lt;0,I50="Fehler"),1,0)</f>
        <v>0</v>
      </c>
      <c r="Y59" s="2467" t="str">
        <f>IF(X59=1," ev. ist der W&amp;W Anteil bei den übrigen Tieren zu tief eingetragen !","")</f>
        <v/>
      </c>
      <c r="Z59" s="2453"/>
      <c r="AA59" s="2453"/>
      <c r="AB59" s="2453"/>
      <c r="AC59" s="1559" t="s">
        <v>1430</v>
      </c>
    </row>
    <row r="60" spans="1:29" thickBot="1">
      <c r="B60" s="1849"/>
      <c r="C60" s="1849"/>
      <c r="D60" s="1849"/>
      <c r="E60" s="1849"/>
      <c r="F60" s="1849"/>
      <c r="G60" s="1849"/>
      <c r="H60" s="1849"/>
      <c r="I60" s="1849"/>
      <c r="J60" s="1849"/>
      <c r="K60" s="1849"/>
      <c r="L60" s="1849"/>
      <c r="M60" s="1849"/>
      <c r="N60" s="1893"/>
      <c r="O60" s="1752"/>
      <c r="P60" s="1562"/>
      <c r="Q60" s="2471" t="s">
        <v>1914</v>
      </c>
      <c r="R60" s="1494"/>
      <c r="S60" s="1559" t="s">
        <v>1430</v>
      </c>
      <c r="T60" s="2453">
        <v>3</v>
      </c>
      <c r="U60" s="2469" t="s">
        <v>1253</v>
      </c>
      <c r="V60" s="2455"/>
      <c r="W60" s="2455"/>
      <c r="X60" s="2460">
        <v>1</v>
      </c>
      <c r="Y60" s="2466" t="str">
        <f>IF(X60=1,"","")</f>
        <v/>
      </c>
      <c r="Z60" s="2455"/>
      <c r="AA60" s="2455"/>
      <c r="AB60" s="2455"/>
      <c r="AC60" s="1559" t="s">
        <v>1430</v>
      </c>
    </row>
    <row r="61" spans="1:29" thickTop="1">
      <c r="A61" s="2697"/>
      <c r="B61" s="1894"/>
      <c r="C61" s="1894"/>
      <c r="D61" s="1894"/>
      <c r="E61" s="1894"/>
      <c r="F61" s="1894"/>
      <c r="G61" s="1894"/>
      <c r="H61" s="1894"/>
      <c r="I61" s="1894"/>
      <c r="J61" s="1894"/>
      <c r="K61" s="1894"/>
      <c r="L61" s="1894"/>
      <c r="M61" s="1809"/>
      <c r="N61" s="1895"/>
      <c r="P61" s="1587"/>
      <c r="Q61" s="2471"/>
      <c r="R61" s="1495"/>
      <c r="S61" s="1559" t="s">
        <v>1430</v>
      </c>
      <c r="T61" s="2453"/>
      <c r="U61" s="2465"/>
      <c r="V61" s="2455"/>
      <c r="W61" s="2455"/>
      <c r="X61" s="2460"/>
      <c r="Y61" s="2466"/>
      <c r="Z61" s="2455"/>
      <c r="AA61" s="2455"/>
      <c r="AB61" s="2455"/>
      <c r="AC61" s="1559" t="s">
        <v>1430</v>
      </c>
    </row>
    <row r="62" spans="1:29" ht="15.75">
      <c r="A62" s="2696"/>
      <c r="B62" s="1586" t="s">
        <v>1749</v>
      </c>
      <c r="C62" s="1494"/>
      <c r="D62" s="1494"/>
      <c r="E62" s="1494"/>
      <c r="F62" s="1494"/>
      <c r="G62" s="1494"/>
      <c r="H62" s="1494"/>
      <c r="I62" s="1494"/>
      <c r="J62" s="1494"/>
      <c r="K62" s="1494"/>
      <c r="M62" s="1724"/>
      <c r="N62" s="1810"/>
      <c r="P62" s="1587"/>
      <c r="Q62" s="1567"/>
      <c r="R62" s="1495"/>
      <c r="S62" s="1559" t="s">
        <v>1430</v>
      </c>
      <c r="T62" s="2453"/>
      <c r="U62" s="2465"/>
      <c r="V62" s="2455"/>
      <c r="W62" s="2455"/>
      <c r="X62" s="2460"/>
      <c r="Y62" s="2466"/>
      <c r="Z62" s="2455"/>
      <c r="AA62" s="2455"/>
      <c r="AB62" s="2455"/>
      <c r="AC62" s="1559" t="s">
        <v>1430</v>
      </c>
    </row>
    <row r="63" spans="1:29">
      <c r="B63" s="320"/>
      <c r="C63" s="1849"/>
      <c r="D63" s="1849"/>
      <c r="E63" s="1849"/>
      <c r="F63" s="1849"/>
      <c r="G63" s="1849"/>
      <c r="H63" s="1849"/>
      <c r="I63" s="1849"/>
      <c r="J63" s="1849"/>
      <c r="K63" s="1849"/>
      <c r="L63" s="1849"/>
      <c r="M63" s="1849"/>
      <c r="N63" s="1904"/>
      <c r="P63" s="1587"/>
      <c r="Q63" s="2391" t="s">
        <v>1898</v>
      </c>
      <c r="R63" s="1495"/>
      <c r="S63" s="1559"/>
      <c r="T63" s="2454"/>
      <c r="U63" s="2466"/>
      <c r="V63" s="2455"/>
      <c r="W63" s="2455"/>
      <c r="X63" s="2460"/>
      <c r="Y63" s="2466"/>
      <c r="Z63" s="2455"/>
      <c r="AA63" s="2455"/>
      <c r="AB63" s="2455"/>
      <c r="AC63" s="1559" t="s">
        <v>1430</v>
      </c>
    </row>
    <row r="64" spans="1:29" ht="12.75">
      <c r="B64" s="1905" t="s">
        <v>544</v>
      </c>
      <c r="C64" s="1881"/>
      <c r="D64" s="1881"/>
      <c r="E64" s="1881"/>
      <c r="F64" s="1881"/>
      <c r="G64" s="1881"/>
      <c r="H64" s="1881"/>
      <c r="I64" s="1881"/>
      <c r="J64" s="1881"/>
      <c r="K64" s="1881"/>
      <c r="L64" s="1881"/>
      <c r="M64" s="1881"/>
      <c r="N64" s="1904"/>
      <c r="P64" s="1587"/>
      <c r="Q64" s="2391" t="s">
        <v>1900</v>
      </c>
      <c r="R64" s="1495"/>
      <c r="S64" s="1559"/>
      <c r="T64" s="2455"/>
      <c r="U64" s="2465"/>
      <c r="V64" s="2455"/>
      <c r="W64" s="2455"/>
      <c r="X64" s="2460"/>
      <c r="Y64" s="2466"/>
      <c r="Z64" s="2455"/>
      <c r="AA64" s="2455"/>
      <c r="AB64" s="2455"/>
      <c r="AC64" s="1559" t="s">
        <v>1430</v>
      </c>
    </row>
    <row r="65" spans="2:29" ht="12.75">
      <c r="B65" s="1905" t="s">
        <v>413</v>
      </c>
      <c r="C65" s="1881"/>
      <c r="D65" s="1881"/>
      <c r="E65" s="1881"/>
      <c r="F65" s="1881"/>
      <c r="G65" s="1881"/>
      <c r="H65" s="1881"/>
      <c r="I65" s="1881"/>
      <c r="J65" s="1881"/>
      <c r="K65" s="1881"/>
      <c r="L65" s="1881"/>
      <c r="M65" s="1881"/>
      <c r="N65" s="1904"/>
      <c r="P65" s="1587"/>
      <c r="Q65" s="2391" t="s">
        <v>1899</v>
      </c>
      <c r="R65" s="1495"/>
      <c r="S65" s="1559"/>
      <c r="T65" s="2455"/>
      <c r="U65" s="2454"/>
      <c r="V65" s="2455"/>
      <c r="W65" s="2455"/>
      <c r="X65" s="2460"/>
      <c r="Y65" s="2455"/>
      <c r="Z65" s="2455"/>
      <c r="AA65" s="2455"/>
      <c r="AB65" s="2455"/>
      <c r="AC65" s="1559" t="s">
        <v>1430</v>
      </c>
    </row>
    <row r="66" spans="2:29" ht="12.75">
      <c r="B66" s="2551" t="str">
        <f>IF((COUNTIF(B16:B22,"Maul*" )+COUNTIF(B16:B22,"Ponies*" )) &gt; 0, "Insbesondere bei Kleinpferden und Maultieren/Mauleseln kann die GVE-Berechnung hier zu wenig genau erfolgen.","")</f>
        <v/>
      </c>
      <c r="C66" s="1881"/>
      <c r="D66" s="1881"/>
      <c r="E66" s="1881"/>
      <c r="F66" s="1881"/>
      <c r="G66" s="1881"/>
      <c r="H66" s="1881"/>
      <c r="I66" s="1881"/>
      <c r="J66" s="1881"/>
      <c r="K66" s="1881"/>
      <c r="L66" s="1881"/>
      <c r="M66" s="1881"/>
      <c r="N66" s="1904"/>
      <c r="P66" s="1587"/>
      <c r="Q66" s="2391" t="s">
        <v>1673</v>
      </c>
      <c r="R66" s="1495"/>
      <c r="S66" s="1559"/>
      <c r="T66" s="2455"/>
      <c r="U66" s="2454"/>
      <c r="V66" s="2455"/>
      <c r="W66" s="2455"/>
      <c r="X66" s="2455"/>
      <c r="Y66" s="2455"/>
      <c r="Z66" s="2455"/>
      <c r="AA66" s="2455"/>
      <c r="AB66" s="2455"/>
      <c r="AC66" s="1559" t="s">
        <v>1430</v>
      </c>
    </row>
    <row r="67" spans="2:29" ht="12.75">
      <c r="B67" s="1906" t="s">
        <v>520</v>
      </c>
      <c r="C67" s="1881"/>
      <c r="D67" s="1881"/>
      <c r="E67" s="1881"/>
      <c r="F67" s="1881"/>
      <c r="G67" s="989"/>
      <c r="H67" s="989"/>
      <c r="I67" s="989"/>
      <c r="J67" s="989"/>
      <c r="K67" s="989"/>
      <c r="L67" s="989"/>
      <c r="M67" s="989"/>
      <c r="N67" s="1907"/>
      <c r="P67" s="1587"/>
      <c r="Q67" s="2391" t="s">
        <v>1675</v>
      </c>
      <c r="R67" s="1495"/>
      <c r="S67" s="1559"/>
      <c r="T67" s="2455"/>
      <c r="U67" s="2550"/>
      <c r="V67" s="2455"/>
      <c r="W67" s="2455"/>
      <c r="X67" s="2455"/>
      <c r="Y67" s="2455"/>
      <c r="Z67" s="2455"/>
      <c r="AA67" s="2455"/>
      <c r="AB67" s="2455"/>
      <c r="AC67" s="1559" t="s">
        <v>1430</v>
      </c>
    </row>
    <row r="68" spans="2:29" ht="12.75">
      <c r="B68" s="1906"/>
      <c r="C68" s="1881"/>
      <c r="D68" s="1881"/>
      <c r="E68" s="1881"/>
      <c r="F68" s="1881"/>
      <c r="G68" s="989"/>
      <c r="H68" s="989"/>
      <c r="I68" s="989"/>
      <c r="J68" s="989"/>
      <c r="K68" s="989"/>
      <c r="L68" s="989"/>
      <c r="M68" s="989"/>
      <c r="N68" s="1908"/>
      <c r="P68" s="1587"/>
      <c r="Q68" s="2391" t="s">
        <v>1676</v>
      </c>
      <c r="R68" s="1495"/>
      <c r="S68" s="1559" t="s">
        <v>1430</v>
      </c>
      <c r="U68" s="2550"/>
      <c r="AC68" s="1559" t="s">
        <v>1430</v>
      </c>
    </row>
    <row r="69" spans="2:29" ht="12.75">
      <c r="B69" s="989"/>
      <c r="C69" s="1909"/>
      <c r="D69" s="1881"/>
      <c r="E69" s="1910" t="s">
        <v>437</v>
      </c>
      <c r="F69" s="1881"/>
      <c r="G69" s="1911" t="s">
        <v>438</v>
      </c>
      <c r="H69" s="1912"/>
      <c r="I69" s="1912"/>
      <c r="J69" s="1913"/>
      <c r="K69" s="1914" t="s">
        <v>436</v>
      </c>
      <c r="L69" s="1915"/>
      <c r="M69" s="426"/>
      <c r="N69" s="1908"/>
      <c r="P69" s="1587"/>
      <c r="Q69" s="2391" t="s">
        <v>1677</v>
      </c>
      <c r="R69" s="1495"/>
      <c r="S69" s="1559" t="s">
        <v>1430</v>
      </c>
      <c r="AC69" s="1559" t="s">
        <v>1430</v>
      </c>
    </row>
    <row r="70" spans="2:29" ht="12.75">
      <c r="B70" s="989"/>
      <c r="C70" s="989"/>
      <c r="D70" s="989"/>
      <c r="E70" s="1916" t="s">
        <v>381</v>
      </c>
      <c r="F70" s="1905"/>
      <c r="G70" s="1917" t="s">
        <v>414</v>
      </c>
      <c r="H70" s="1917" t="s">
        <v>416</v>
      </c>
      <c r="I70" s="1917" t="s">
        <v>415</v>
      </c>
      <c r="J70" s="1917" t="s">
        <v>519</v>
      </c>
      <c r="K70" s="1918"/>
      <c r="L70" s="1919" t="s">
        <v>435</v>
      </c>
      <c r="M70" s="1920"/>
      <c r="N70" s="1907"/>
      <c r="P70" s="1587"/>
      <c r="Q70" s="2391" t="s">
        <v>1678</v>
      </c>
      <c r="R70" s="1495"/>
      <c r="S70" s="1559" t="s">
        <v>1430</v>
      </c>
      <c r="AC70" s="1559" t="s">
        <v>1430</v>
      </c>
    </row>
    <row r="71" spans="2:29" ht="12.75">
      <c r="B71" s="989"/>
      <c r="C71" s="989"/>
      <c r="D71" s="989"/>
      <c r="E71" s="1750" t="s">
        <v>506</v>
      </c>
      <c r="F71" s="1881"/>
      <c r="G71" s="1921" t="s">
        <v>432</v>
      </c>
      <c r="H71" s="1921" t="s">
        <v>95</v>
      </c>
      <c r="I71" s="1921" t="s">
        <v>432</v>
      </c>
      <c r="J71" s="1921"/>
      <c r="K71" s="320"/>
      <c r="L71" s="1922">
        <v>0.3</v>
      </c>
      <c r="M71" s="1920"/>
      <c r="N71" s="1908"/>
      <c r="P71" s="1587"/>
      <c r="Q71" s="2391" t="s">
        <v>1674</v>
      </c>
      <c r="R71" s="1495"/>
      <c r="S71" s="1559" t="s">
        <v>1430</v>
      </c>
      <c r="AC71" s="1559" t="s">
        <v>1430</v>
      </c>
    </row>
    <row r="72" spans="2:29" ht="12.75">
      <c r="B72" s="989"/>
      <c r="C72" s="989"/>
      <c r="D72" s="989"/>
      <c r="E72" s="1910" t="s">
        <v>57</v>
      </c>
      <c r="F72" s="1881"/>
      <c r="G72" s="1923" t="s">
        <v>57</v>
      </c>
      <c r="H72" s="1923" t="s">
        <v>57</v>
      </c>
      <c r="I72" s="1923" t="s">
        <v>57</v>
      </c>
      <c r="J72" s="1923" t="s">
        <v>57</v>
      </c>
      <c r="K72" s="1924" t="s">
        <v>433</v>
      </c>
      <c r="L72" s="1924" t="s">
        <v>433</v>
      </c>
      <c r="M72" s="1925" t="s">
        <v>1246</v>
      </c>
      <c r="N72" s="1908"/>
      <c r="P72" s="1587"/>
      <c r="Q72" s="1567"/>
      <c r="R72" s="1495"/>
      <c r="S72" s="1559" t="s">
        <v>1430</v>
      </c>
      <c r="AC72" s="1559" t="s">
        <v>1430</v>
      </c>
    </row>
    <row r="73" spans="2:29" ht="12.75">
      <c r="B73" s="989"/>
      <c r="C73" s="1926" t="s">
        <v>373</v>
      </c>
      <c r="D73" s="989"/>
      <c r="E73" s="1927"/>
      <c r="F73" s="1928"/>
      <c r="G73" s="1929"/>
      <c r="H73" s="1929"/>
      <c r="I73" s="1929"/>
      <c r="J73" s="1929"/>
      <c r="K73" s="1523">
        <v>1</v>
      </c>
      <c r="L73" s="1523">
        <f t="shared" ref="L73:L79" si="12">K73*$L$71</f>
        <v>0.3</v>
      </c>
      <c r="M73" s="1930">
        <f t="shared" ref="M73:M79" si="13">E73*K73+SUM(G73:J73)*L73</f>
        <v>0</v>
      </c>
      <c r="N73" s="1908"/>
      <c r="P73" s="1587"/>
      <c r="Q73" s="1567" t="s">
        <v>408</v>
      </c>
      <c r="R73" s="1495"/>
      <c r="S73" s="1559" t="s">
        <v>1430</v>
      </c>
      <c r="AC73" s="1559" t="s">
        <v>1430</v>
      </c>
    </row>
    <row r="74" spans="2:29" ht="12.75">
      <c r="B74" s="989"/>
      <c r="C74" s="1926" t="s">
        <v>374</v>
      </c>
      <c r="D74" s="989"/>
      <c r="E74" s="1931"/>
      <c r="F74" s="1928"/>
      <c r="G74" s="1932"/>
      <c r="H74" s="1932"/>
      <c r="I74" s="1932"/>
      <c r="J74" s="1932"/>
      <c r="K74" s="1523">
        <v>0.8</v>
      </c>
      <c r="L74" s="1523">
        <f t="shared" si="12"/>
        <v>0.24</v>
      </c>
      <c r="M74" s="1930">
        <f t="shared" si="13"/>
        <v>0</v>
      </c>
      <c r="N74" s="1908"/>
      <c r="P74" s="1587"/>
      <c r="Q74" s="1567" t="s">
        <v>406</v>
      </c>
      <c r="R74" s="1495"/>
      <c r="S74" s="1559" t="s">
        <v>1430</v>
      </c>
      <c r="AC74" s="1559" t="s">
        <v>1430</v>
      </c>
    </row>
    <row r="75" spans="2:29" ht="12.75">
      <c r="B75" s="989"/>
      <c r="C75" s="1926" t="s">
        <v>375</v>
      </c>
      <c r="D75" s="989"/>
      <c r="E75" s="1931"/>
      <c r="F75" s="1928"/>
      <c r="G75" s="1932"/>
      <c r="H75" s="1932"/>
      <c r="I75" s="1932"/>
      <c r="J75" s="1932"/>
      <c r="K75" s="1523">
        <v>0.7</v>
      </c>
      <c r="L75" s="1523">
        <f t="shared" si="12"/>
        <v>0.21</v>
      </c>
      <c r="M75" s="1930">
        <f t="shared" si="13"/>
        <v>0</v>
      </c>
      <c r="N75" s="1908"/>
      <c r="P75" s="1587"/>
      <c r="Q75" s="1567" t="s">
        <v>405</v>
      </c>
      <c r="R75" s="1495"/>
      <c r="S75" s="1559" t="s">
        <v>1430</v>
      </c>
      <c r="AC75" s="1559" t="s">
        <v>1430</v>
      </c>
    </row>
    <row r="76" spans="2:29" ht="12.75">
      <c r="B76" s="989"/>
      <c r="C76" s="1926" t="s">
        <v>376</v>
      </c>
      <c r="D76" s="989"/>
      <c r="E76" s="1931"/>
      <c r="F76" s="1928"/>
      <c r="G76" s="1932"/>
      <c r="H76" s="1932"/>
      <c r="I76" s="1932"/>
      <c r="J76" s="1932"/>
      <c r="K76" s="1523">
        <v>0.6</v>
      </c>
      <c r="L76" s="1523">
        <f t="shared" si="12"/>
        <v>0.18</v>
      </c>
      <c r="M76" s="1930">
        <f t="shared" si="13"/>
        <v>0</v>
      </c>
      <c r="N76" s="1908"/>
      <c r="P76" s="1587"/>
      <c r="Q76" s="1567"/>
      <c r="R76" s="1495"/>
      <c r="S76" s="1559" t="s">
        <v>1430</v>
      </c>
      <c r="T76" s="1588"/>
      <c r="U76" s="1589"/>
      <c r="V76" s="1589"/>
      <c r="AC76" s="1559" t="s">
        <v>1430</v>
      </c>
    </row>
    <row r="77" spans="2:29" ht="12.75">
      <c r="B77" s="989"/>
      <c r="C77" s="1926" t="s">
        <v>377</v>
      </c>
      <c r="D77" s="989"/>
      <c r="E77" s="1931"/>
      <c r="F77" s="1928"/>
      <c r="G77" s="1932"/>
      <c r="H77" s="1932"/>
      <c r="I77" s="1932"/>
      <c r="J77" s="1932"/>
      <c r="K77" s="1523">
        <v>0.5</v>
      </c>
      <c r="L77" s="1523">
        <f t="shared" si="12"/>
        <v>0.15</v>
      </c>
      <c r="M77" s="1930">
        <f t="shared" si="13"/>
        <v>0</v>
      </c>
      <c r="N77" s="1908"/>
      <c r="P77" s="1587"/>
      <c r="Q77" s="1567" t="s">
        <v>409</v>
      </c>
      <c r="R77" s="1495"/>
      <c r="S77" s="1559" t="s">
        <v>1430</v>
      </c>
      <c r="AC77" s="1559" t="s">
        <v>1430</v>
      </c>
    </row>
    <row r="78" spans="2:29" ht="12.75">
      <c r="B78" s="989"/>
      <c r="C78" s="1926" t="s">
        <v>378</v>
      </c>
      <c r="D78" s="989"/>
      <c r="E78" s="1931"/>
      <c r="F78" s="1928"/>
      <c r="G78" s="1932"/>
      <c r="H78" s="1932"/>
      <c r="I78" s="1932"/>
      <c r="J78" s="1932"/>
      <c r="K78" s="1523">
        <v>0.4</v>
      </c>
      <c r="L78" s="1523">
        <f t="shared" si="12"/>
        <v>0.12</v>
      </c>
      <c r="M78" s="1930">
        <f t="shared" si="13"/>
        <v>0</v>
      </c>
      <c r="N78" s="1904"/>
      <c r="P78" s="1587"/>
      <c r="Q78" s="1724" t="s">
        <v>491</v>
      </c>
      <c r="R78" s="1495"/>
      <c r="S78" s="1559" t="s">
        <v>1430</v>
      </c>
      <c r="T78" s="1588"/>
      <c r="AC78" s="1559" t="s">
        <v>1430</v>
      </c>
    </row>
    <row r="79" spans="2:29" ht="12.75">
      <c r="B79" s="989"/>
      <c r="C79" s="1926" t="s">
        <v>379</v>
      </c>
      <c r="D79" s="989"/>
      <c r="E79" s="1933"/>
      <c r="F79" s="1928"/>
      <c r="G79" s="1934"/>
      <c r="H79" s="1934"/>
      <c r="I79" s="1934"/>
      <c r="J79" s="1934"/>
      <c r="K79" s="1532">
        <v>0</v>
      </c>
      <c r="L79" s="1532">
        <f t="shared" si="12"/>
        <v>0</v>
      </c>
      <c r="M79" s="1930">
        <f t="shared" si="13"/>
        <v>0</v>
      </c>
      <c r="N79" s="1904"/>
      <c r="P79" s="1587"/>
      <c r="Q79" s="1724" t="s">
        <v>1908</v>
      </c>
      <c r="R79" s="1495"/>
      <c r="S79" s="1559" t="s">
        <v>1430</v>
      </c>
      <c r="T79" s="1588"/>
      <c r="AC79" s="1559" t="s">
        <v>1430</v>
      </c>
    </row>
    <row r="80" spans="2:29">
      <c r="B80" s="989"/>
      <c r="C80" s="1935" t="s">
        <v>36</v>
      </c>
      <c r="D80" s="1936"/>
      <c r="E80" s="1937">
        <f>SUM(E73:E79)</f>
        <v>0</v>
      </c>
      <c r="F80" s="1938"/>
      <c r="G80" s="1939">
        <f>SUM(G73:G79)</f>
        <v>0</v>
      </c>
      <c r="H80" s="1939">
        <f>SUM(H73:H79)</f>
        <v>0</v>
      </c>
      <c r="I80" s="1937">
        <f>SUM(I73:I79)</f>
        <v>0</v>
      </c>
      <c r="J80" s="1937">
        <f>SUM(J73:J79)</f>
        <v>0</v>
      </c>
      <c r="K80" s="989"/>
      <c r="L80" s="989"/>
      <c r="M80" s="1940"/>
      <c r="N80" s="1904"/>
      <c r="P80" s="1587"/>
      <c r="R80" s="1495"/>
      <c r="S80" s="1559" t="s">
        <v>1430</v>
      </c>
      <c r="T80" s="1588"/>
      <c r="AC80" s="1559" t="s">
        <v>1430</v>
      </c>
    </row>
    <row r="81" spans="2:29" ht="12.75">
      <c r="B81" s="989"/>
      <c r="C81" s="1941" t="s">
        <v>439</v>
      </c>
      <c r="D81" s="989"/>
      <c r="E81" s="1942"/>
      <c r="F81" s="1943">
        <f>SUM(E80,G80:J80)</f>
        <v>0</v>
      </c>
      <c r="G81" s="1944"/>
      <c r="H81" s="1944"/>
      <c r="I81" s="1944"/>
      <c r="J81" s="1945"/>
      <c r="K81" s="989"/>
      <c r="L81" s="989"/>
      <c r="M81" s="1930">
        <f>IF(AND(F83="",K83=""),SUM(M73:M79),"")</f>
        <v>0</v>
      </c>
      <c r="N81" s="1904"/>
      <c r="P81" s="1587"/>
      <c r="Q81" s="1567" t="s">
        <v>404</v>
      </c>
      <c r="R81" s="1495"/>
      <c r="S81" s="1559" t="s">
        <v>1430</v>
      </c>
      <c r="AC81" s="1559" t="s">
        <v>1430</v>
      </c>
    </row>
    <row r="82" spans="2:29" ht="12.75">
      <c r="B82" s="320"/>
      <c r="C82" s="1590" t="s">
        <v>431</v>
      </c>
      <c r="D82" s="1591"/>
      <c r="E82" s="1763"/>
      <c r="F82" s="1767">
        <f>SUM(Suisse_Bilanz_1.20!F72:F77,Suisse_Bilanz_1.20!F68:F69)</f>
        <v>0</v>
      </c>
      <c r="G82" s="1763">
        <f>Suisse_Bilanz_1.20!F72</f>
        <v>0</v>
      </c>
      <c r="H82" s="1763">
        <f>Suisse_Bilanz_1.20!F74</f>
        <v>0</v>
      </c>
      <c r="I82" s="1763">
        <f>Suisse_Bilanz_1.20!F75</f>
        <v>0</v>
      </c>
      <c r="J82" s="1808" t="str">
        <f>IF(J80&gt;Suisse_Bilanz_1.20!F73,"   weitere BFF  &gt;  'übrige Wiesen mit Düngeverbot' in SB","")</f>
        <v/>
      </c>
      <c r="K82" s="1881"/>
      <c r="L82" s="1881"/>
      <c r="M82" s="1881"/>
      <c r="N82" s="1908"/>
      <c r="P82" s="1587"/>
      <c r="Q82" s="1567" t="s">
        <v>403</v>
      </c>
      <c r="R82" s="1495"/>
      <c r="S82" s="1559" t="s">
        <v>1430</v>
      </c>
      <c r="T82" s="1588"/>
      <c r="AC82" s="1559" t="s">
        <v>1430</v>
      </c>
    </row>
    <row r="83" spans="2:29">
      <c r="B83" s="1905"/>
      <c r="C83" s="1765" t="str">
        <f>IF(AND(ABS(SUM(E83:I83))&lt;0.005, J83="" ),"","Abweichung")</f>
        <v/>
      </c>
      <c r="D83" s="1592"/>
      <c r="E83" s="1766" t="str">
        <f>IF(AND(E80&lt;SUM(Suisse_Bilanz_1.20!F76:F77,Suisse_Bilanz_1.20!F68:F69,-0.0049),F83=""),"ev . ?","")</f>
        <v/>
      </c>
      <c r="F83" s="1768" t="str">
        <f>IF(ABS(F81-F82)&gt;0.0049,F81-F82,"")</f>
        <v/>
      </c>
      <c r="G83" s="1764" t="str">
        <f>IF(ABS(G80-G82)&lt;0.005,"",G80-G82)</f>
        <v/>
      </c>
      <c r="H83" s="1764" t="str">
        <f>IF(ABS(H80-H82)&lt;0.005,"",H80-H82)</f>
        <v/>
      </c>
      <c r="I83" s="1764" t="str">
        <f>IF(ABS(I80-I82)&lt;0.005,"",I80-I82)</f>
        <v/>
      </c>
      <c r="J83" s="1764" t="str">
        <f>IF(J80&gt;Suisse_Bilanz_1.20!F73,"ev. ?","")</f>
        <v/>
      </c>
      <c r="K83" s="1946" t="str">
        <f>IF(AND(G83="",H83="",I83=""),""," ''BFF-Fläche'' weicht von Angabe in Suisse-Bilanz ab -&gt; korrigieren")</f>
        <v/>
      </c>
      <c r="L83" s="1881"/>
      <c r="M83" s="1881"/>
      <c r="N83" s="1908"/>
      <c r="P83" s="1587"/>
      <c r="Q83" s="1556"/>
      <c r="R83" s="1495"/>
      <c r="S83" s="1559" t="s">
        <v>1430</v>
      </c>
      <c r="T83" s="1588"/>
      <c r="AC83" s="1559" t="s">
        <v>1430</v>
      </c>
    </row>
    <row r="84" spans="2:29" ht="12.75">
      <c r="B84" s="320"/>
      <c r="C84" s="320"/>
      <c r="D84" s="320"/>
      <c r="E84" s="320"/>
      <c r="F84" s="1947" t="str">
        <f>IF(OR(F83="",OR(G83&lt;&gt;"",H83&lt;&gt;"",I83&lt;&gt;"")),"","''Total Grünfläche'' weicht vom Total Grünfläche der Suisse-Bilanz ab  -&gt;  korrigieren")</f>
        <v/>
      </c>
      <c r="G84" s="320"/>
      <c r="H84" s="320"/>
      <c r="I84" s="320"/>
      <c r="J84" s="320"/>
      <c r="K84" s="320"/>
      <c r="L84" s="989"/>
      <c r="M84" s="989"/>
      <c r="N84" s="1908"/>
      <c r="P84" s="1587"/>
      <c r="Q84" s="1567" t="s">
        <v>410</v>
      </c>
      <c r="R84" s="1495"/>
      <c r="S84" s="1559" t="s">
        <v>1430</v>
      </c>
      <c r="T84" s="1588"/>
      <c r="AC84" s="1559" t="s">
        <v>1430</v>
      </c>
    </row>
    <row r="85" spans="2:29">
      <c r="B85" s="320"/>
      <c r="C85" s="320"/>
      <c r="D85" s="320"/>
      <c r="E85" s="320"/>
      <c r="F85" s="1947"/>
      <c r="G85" s="320"/>
      <c r="H85" s="320"/>
      <c r="I85" s="320"/>
      <c r="J85" s="320"/>
      <c r="K85" s="320"/>
      <c r="L85" s="989"/>
      <c r="M85" s="989"/>
      <c r="N85" s="1948"/>
      <c r="P85" s="1587"/>
      <c r="Q85" s="1556"/>
      <c r="R85" s="1495"/>
      <c r="S85" s="1559" t="s">
        <v>1430</v>
      </c>
      <c r="T85" s="1588"/>
      <c r="AC85" s="1559" t="s">
        <v>1430</v>
      </c>
    </row>
    <row r="86" spans="2:29" ht="12.75">
      <c r="B86" s="1949"/>
      <c r="C86" s="1950"/>
      <c r="D86" s="1951"/>
      <c r="E86" s="1949"/>
      <c r="F86" s="1952"/>
      <c r="G86" s="1952"/>
      <c r="H86" s="1953" t="s">
        <v>417</v>
      </c>
      <c r="I86" s="1952"/>
      <c r="J86" s="1953" t="s">
        <v>440</v>
      </c>
      <c r="K86" s="1949"/>
      <c r="L86" s="1950"/>
      <c r="M86" s="989"/>
      <c r="N86" s="1908"/>
      <c r="P86" s="1587"/>
      <c r="Q86" s="2391" t="s">
        <v>1907</v>
      </c>
      <c r="R86" s="1495"/>
      <c r="S86" s="1559" t="s">
        <v>1430</v>
      </c>
      <c r="T86" s="1588"/>
      <c r="AC86" s="1559" t="s">
        <v>1430</v>
      </c>
    </row>
    <row r="87" spans="2:29" ht="12.75">
      <c r="B87" s="1950" t="s">
        <v>423</v>
      </c>
      <c r="C87" s="1950"/>
      <c r="D87" s="1950"/>
      <c r="E87" s="1950"/>
      <c r="F87" s="1950"/>
      <c r="G87" s="1950"/>
      <c r="H87" s="1954" t="str">
        <f>IF(M81&gt;0,M81,"")</f>
        <v/>
      </c>
      <c r="I87" s="1950"/>
      <c r="J87" s="1955" t="str">
        <f>IF(H87&lt;&gt;"",M81/F82,"")</f>
        <v/>
      </c>
      <c r="K87" s="1949"/>
      <c r="L87" s="1950"/>
      <c r="M87" s="320"/>
      <c r="N87" s="1908"/>
      <c r="P87" s="1587"/>
      <c r="Q87" s="2391" t="s">
        <v>1679</v>
      </c>
      <c r="R87" s="1495"/>
      <c r="S87" s="1559" t="s">
        <v>1430</v>
      </c>
      <c r="AC87" s="1507" t="s">
        <v>1430</v>
      </c>
    </row>
    <row r="88" spans="2:29" ht="12.75">
      <c r="B88" s="1950" t="s">
        <v>527</v>
      </c>
      <c r="C88" s="1949"/>
      <c r="D88" s="1949"/>
      <c r="E88" s="1949"/>
      <c r="F88" s="1950"/>
      <c r="G88" s="1950"/>
      <c r="H88" s="1954">
        <f>AB24</f>
        <v>0</v>
      </c>
      <c r="I88" s="1950"/>
      <c r="J88" s="1955" t="e">
        <f>H88/F82</f>
        <v>#DIV/0!</v>
      </c>
      <c r="K88" s="1949"/>
      <c r="L88" s="1950"/>
      <c r="M88" s="989"/>
      <c r="N88" s="1908"/>
      <c r="P88" s="1587"/>
      <c r="Q88" s="1724" t="s">
        <v>1915</v>
      </c>
      <c r="R88" s="1495"/>
      <c r="S88" s="1559" t="s">
        <v>1430</v>
      </c>
      <c r="AC88" s="1507" t="s">
        <v>1430</v>
      </c>
    </row>
    <row r="89" spans="2:29" ht="12.75">
      <c r="B89" s="1949"/>
      <c r="C89" s="1949"/>
      <c r="D89" s="1950"/>
      <c r="E89" s="1950"/>
      <c r="F89" s="1950"/>
      <c r="G89" s="1956"/>
      <c r="H89" s="1949"/>
      <c r="I89" s="1956" t="s">
        <v>428</v>
      </c>
      <c r="J89" s="1957" t="str">
        <f>IF(H87&lt;&gt;"",MIN(J88/J87,1),"")</f>
        <v/>
      </c>
      <c r="K89" s="1950"/>
      <c r="L89" s="1949"/>
      <c r="M89" s="320"/>
      <c r="N89" s="1908"/>
      <c r="P89" s="1593"/>
      <c r="Q89" s="1724" t="s">
        <v>1687</v>
      </c>
      <c r="R89" s="1495"/>
      <c r="S89" s="1559" t="s">
        <v>1430</v>
      </c>
      <c r="T89" s="1507" t="s">
        <v>1430</v>
      </c>
      <c r="U89" s="1507" t="s">
        <v>1430</v>
      </c>
      <c r="V89" s="1507" t="s">
        <v>1430</v>
      </c>
      <c r="W89" s="1507" t="s">
        <v>1430</v>
      </c>
      <c r="X89" s="1507" t="s">
        <v>1430</v>
      </c>
      <c r="Y89" s="1507" t="s">
        <v>1430</v>
      </c>
      <c r="Z89" s="1507" t="s">
        <v>1430</v>
      </c>
      <c r="AA89" s="1507"/>
      <c r="AB89" s="1507"/>
      <c r="AC89" s="1507" t="s">
        <v>1430</v>
      </c>
    </row>
    <row r="90" spans="2:29" ht="12.75">
      <c r="B90" s="1949"/>
      <c r="C90" s="1949"/>
      <c r="D90" s="1950"/>
      <c r="E90" s="1950"/>
      <c r="F90" s="1950"/>
      <c r="G90" s="1949"/>
      <c r="H90" s="1949"/>
      <c r="I90" s="1949"/>
      <c r="J90" s="1949"/>
      <c r="K90" s="1949"/>
      <c r="L90" s="1949"/>
      <c r="M90" s="320"/>
      <c r="N90" s="1908"/>
      <c r="P90" s="1593"/>
      <c r="Q90" s="1724" t="s">
        <v>1688</v>
      </c>
      <c r="R90" s="1495"/>
      <c r="S90" s="2473" t="s">
        <v>1430</v>
      </c>
    </row>
    <row r="91" spans="2:29" ht="12.75">
      <c r="B91" s="1950" t="s">
        <v>424</v>
      </c>
      <c r="C91" s="1950"/>
      <c r="D91" s="1950"/>
      <c r="E91" s="1958" t="s">
        <v>426</v>
      </c>
      <c r="F91" s="1958" t="s">
        <v>427</v>
      </c>
      <c r="G91" s="1959" t="s">
        <v>425</v>
      </c>
      <c r="H91" s="1952"/>
      <c r="I91" s="1949"/>
      <c r="J91" s="1949"/>
      <c r="K91" s="1949"/>
      <c r="L91" s="1949"/>
      <c r="M91" s="320"/>
      <c r="N91" s="1908"/>
      <c r="P91" s="1587"/>
      <c r="Q91" s="1567"/>
      <c r="R91" s="1495"/>
      <c r="S91" s="2473" t="s">
        <v>1430</v>
      </c>
    </row>
    <row r="92" spans="2:29" ht="12.75">
      <c r="B92" s="1960"/>
      <c r="C92" s="1961"/>
      <c r="D92" s="1962"/>
      <c r="E92" s="1963" t="s">
        <v>703</v>
      </c>
      <c r="F92" s="1964" t="s">
        <v>703</v>
      </c>
      <c r="G92" s="1965"/>
      <c r="H92" s="1952"/>
      <c r="I92" s="1950"/>
      <c r="J92" s="1949"/>
      <c r="K92" s="1950"/>
      <c r="L92" s="1949"/>
      <c r="M92" s="320"/>
      <c r="N92" s="1908"/>
      <c r="P92" s="1587"/>
      <c r="Q92" s="1567" t="s">
        <v>492</v>
      </c>
      <c r="R92" s="1495"/>
      <c r="S92" s="2473" t="s">
        <v>1430</v>
      </c>
    </row>
    <row r="93" spans="2:29" ht="12.75">
      <c r="B93" s="1950" t="s">
        <v>412</v>
      </c>
      <c r="C93" s="1950"/>
      <c r="D93" s="1950"/>
      <c r="E93" s="1966">
        <v>0.9</v>
      </c>
      <c r="F93" s="1967" t="e">
        <f>H50+J50</f>
        <v>#DIV/0!</v>
      </c>
      <c r="G93" s="1968" t="e">
        <f>N54</f>
        <v>#DIV/0!</v>
      </c>
      <c r="H93" s="1952"/>
      <c r="I93" s="1950"/>
      <c r="J93" s="1949"/>
      <c r="K93" s="1949"/>
      <c r="L93" s="1949"/>
      <c r="M93" s="320"/>
      <c r="N93" s="1908"/>
      <c r="P93" s="1587"/>
      <c r="Q93" s="2391" t="s">
        <v>407</v>
      </c>
      <c r="R93" s="1495"/>
      <c r="S93" s="2473" t="s">
        <v>1430</v>
      </c>
    </row>
    <row r="94" spans="2:29" ht="12.75">
      <c r="B94" s="1950" t="s">
        <v>380</v>
      </c>
      <c r="C94" s="1952"/>
      <c r="D94" s="1952"/>
      <c r="E94" s="1969" t="str">
        <f>H52</f>
        <v>Gebietszuteilung fehlt</v>
      </c>
      <c r="F94" s="1970" t="e">
        <f>H50</f>
        <v>#DIV/0!</v>
      </c>
      <c r="G94" s="1971" t="str">
        <f>H54</f>
        <v>Gebietszuteilung vornehmen (weiter oben)</v>
      </c>
      <c r="H94" s="1952"/>
      <c r="I94" s="320"/>
      <c r="J94" s="320"/>
      <c r="K94" s="320"/>
      <c r="L94" s="320"/>
      <c r="M94" s="320"/>
      <c r="N94" s="1908"/>
      <c r="P94" s="1587"/>
      <c r="Q94" s="2391" t="s">
        <v>1680</v>
      </c>
      <c r="R94" s="1495"/>
      <c r="S94" s="2473" t="s">
        <v>1430</v>
      </c>
    </row>
    <row r="95" spans="2:29" ht="12.75">
      <c r="B95" s="1949"/>
      <c r="C95" s="1949"/>
      <c r="D95" s="1949"/>
      <c r="E95" s="1949"/>
      <c r="F95" s="1949"/>
      <c r="G95" s="1949"/>
      <c r="H95" s="1949"/>
      <c r="I95" s="320"/>
      <c r="J95" s="320"/>
      <c r="K95" s="320"/>
      <c r="L95" s="320"/>
      <c r="M95" s="320"/>
      <c r="N95" s="1908"/>
      <c r="P95" s="1587"/>
      <c r="Q95" s="2391" t="s">
        <v>1681</v>
      </c>
      <c r="R95" s="1495"/>
      <c r="S95" s="2473" t="s">
        <v>1430</v>
      </c>
    </row>
    <row r="96" spans="2:29" ht="12.75">
      <c r="B96" s="1949"/>
      <c r="C96" s="1949"/>
      <c r="D96" s="1949"/>
      <c r="E96" s="1949"/>
      <c r="F96" s="1949"/>
      <c r="G96" s="1972" t="s">
        <v>429</v>
      </c>
      <c r="H96" s="1952" t="e">
        <f>IF(AND(G93="ja",G94="ja",J89&gt;0),ROUND(J89*100,1) &amp;"% der GMF-Beiträge","keine GMF-Beiträge")</f>
        <v>#DIV/0!</v>
      </c>
      <c r="I96" s="1949"/>
      <c r="J96" s="1950"/>
      <c r="K96" s="989"/>
      <c r="L96" s="320"/>
      <c r="M96" s="320"/>
      <c r="N96" s="1908"/>
      <c r="P96" s="1587"/>
      <c r="Q96" s="2391" t="s">
        <v>1682</v>
      </c>
      <c r="R96" s="1495"/>
      <c r="S96" s="2473" t="s">
        <v>1430</v>
      </c>
    </row>
    <row r="97" spans="1:19" ht="12.75">
      <c r="B97" s="1949"/>
      <c r="C97" s="1949"/>
      <c r="D97" s="1949"/>
      <c r="E97" s="1949"/>
      <c r="F97" s="1949"/>
      <c r="G97" s="1972" t="s">
        <v>429</v>
      </c>
      <c r="H97" s="1973" t="e">
        <f>IF(AND(G93="ja",G94="ja",J89&gt;0),J89*200,"")</f>
        <v>#DIV/0!</v>
      </c>
      <c r="I97" s="1950" t="s">
        <v>441</v>
      </c>
      <c r="J97" s="1949"/>
      <c r="K97" s="320"/>
      <c r="L97" s="1949"/>
      <c r="M97" s="320"/>
      <c r="N97" s="1908"/>
      <c r="P97" s="1587"/>
      <c r="Q97" s="2391"/>
      <c r="R97" s="1495"/>
      <c r="S97" s="2473" t="s">
        <v>1430</v>
      </c>
    </row>
    <row r="98" spans="1:19" ht="12.75">
      <c r="B98" s="1949"/>
      <c r="C98" s="1949"/>
      <c r="D98" s="1949"/>
      <c r="E98" s="1949"/>
      <c r="F98" s="1949"/>
      <c r="G98" s="1972" t="s">
        <v>430</v>
      </c>
      <c r="H98" s="2288" t="str">
        <f>IF(ISNUMBER(H97),ROUNDDOWN(F82*H97,-1),"")</f>
        <v/>
      </c>
      <c r="I98" s="1950" t="str">
        <f>"CHF total (bei "&amp;ROUND(F82,2)&amp;" ha beitragsberechtigter Grünfläche)"</f>
        <v>CHF total (bei 0 ha beitragsberechtigter Grünfläche)</v>
      </c>
      <c r="J98" s="320"/>
      <c r="K98" s="320"/>
      <c r="L98" s="1949"/>
      <c r="M98" s="320"/>
      <c r="N98" s="1908"/>
      <c r="P98" s="1587"/>
      <c r="Q98" s="2391" t="s">
        <v>1791</v>
      </c>
      <c r="R98" s="1495"/>
      <c r="S98" s="2473" t="s">
        <v>1430</v>
      </c>
    </row>
    <row r="99" spans="1:19" ht="12.75">
      <c r="B99" s="320"/>
      <c r="C99" s="320"/>
      <c r="D99" s="320"/>
      <c r="E99" s="320"/>
      <c r="F99" s="320"/>
      <c r="G99" s="320"/>
      <c r="H99" s="320"/>
      <c r="I99" s="320"/>
      <c r="J99" s="320"/>
      <c r="K99" s="320"/>
      <c r="L99" s="320"/>
      <c r="M99" s="320"/>
      <c r="N99" s="1908"/>
      <c r="P99" s="1587"/>
      <c r="Q99" s="2391" t="s">
        <v>1916</v>
      </c>
      <c r="R99" s="1495"/>
      <c r="S99" s="2473" t="s">
        <v>1430</v>
      </c>
    </row>
    <row r="100" spans="1:19" thickBot="1">
      <c r="A100" s="2698"/>
      <c r="B100" s="1974"/>
      <c r="C100" s="1974"/>
      <c r="D100" s="1974"/>
      <c r="E100" s="1974"/>
      <c r="F100" s="1974"/>
      <c r="G100" s="1974"/>
      <c r="H100" s="1974"/>
      <c r="I100" s="1974"/>
      <c r="J100" s="1974"/>
      <c r="K100" s="1974"/>
      <c r="L100" s="1974"/>
      <c r="M100" s="1974"/>
      <c r="N100" s="1975"/>
      <c r="P100" s="1587"/>
      <c r="Q100" s="2391"/>
      <c r="R100" s="1495"/>
      <c r="S100" s="2473" t="s">
        <v>1430</v>
      </c>
    </row>
    <row r="101" spans="1:19" thickTop="1">
      <c r="P101" s="1496"/>
      <c r="Q101" s="2391" t="s">
        <v>1683</v>
      </c>
      <c r="S101" s="2474" t="s">
        <v>1430</v>
      </c>
    </row>
    <row r="102" spans="1:19" ht="12.75">
      <c r="P102" s="1496"/>
      <c r="Q102" s="2391" t="s">
        <v>1684</v>
      </c>
      <c r="S102" s="2474" t="s">
        <v>1430</v>
      </c>
    </row>
    <row r="103" spans="1:19" ht="12.75">
      <c r="P103" s="1496"/>
      <c r="Q103" s="2391" t="s">
        <v>1685</v>
      </c>
      <c r="S103" s="2474" t="s">
        <v>1430</v>
      </c>
    </row>
    <row r="104" spans="1:19" ht="12.75">
      <c r="P104" s="1496"/>
      <c r="Q104" s="2391"/>
      <c r="S104" s="2474" t="s">
        <v>1430</v>
      </c>
    </row>
    <row r="105" spans="1:19" ht="12.75">
      <c r="P105" s="1496"/>
      <c r="Q105" s="2475" t="s">
        <v>1686</v>
      </c>
      <c r="R105" s="2476"/>
      <c r="S105" s="2474" t="s">
        <v>1430</v>
      </c>
    </row>
    <row r="106" spans="1:19" ht="12.75">
      <c r="P106" s="1496"/>
      <c r="Q106" s="2647" t="s">
        <v>1534</v>
      </c>
      <c r="R106" s="2476"/>
      <c r="S106" s="2474" t="s">
        <v>1430</v>
      </c>
    </row>
    <row r="107" spans="1:19">
      <c r="P107" s="1496" t="s">
        <v>1430</v>
      </c>
      <c r="Q107" s="1594" t="s">
        <v>54</v>
      </c>
      <c r="R107" s="1496" t="s">
        <v>1430</v>
      </c>
      <c r="S107" s="2474" t="s">
        <v>1430</v>
      </c>
    </row>
  </sheetData>
  <sheetProtection algorithmName="SHA-512" hashValue="owV37Cx5zUzEskcFYJaA75oIgDnOJymSGw24RN8pvm1dXjLuf08Uwdjq2X7lbBAQkmar0J5NHwHHCOPvZL8brA==" saltValue="ctlrjL5EbVQYLSk1JwbJNQ==" spinCount="100000" sheet="1" objects="1" scenarios="1"/>
  <mergeCells count="5">
    <mergeCell ref="D7:D10"/>
    <mergeCell ref="M1:N1"/>
    <mergeCell ref="X45:Y45"/>
    <mergeCell ref="K5:L5"/>
    <mergeCell ref="Q40:Q41"/>
  </mergeCells>
  <phoneticPr fontId="276" type="noConversion"/>
  <conditionalFormatting sqref="H50:H51">
    <cfRule type="cellIs" dxfId="117" priority="36" stopIfTrue="1" operator="greaterThan">
      <formula>1</formula>
    </cfRule>
    <cfRule type="cellIs" dxfId="116" priority="143" stopIfTrue="1" operator="lessThan">
      <formula>$H$52</formula>
    </cfRule>
  </conditionalFormatting>
  <conditionalFormatting sqref="N50:N51">
    <cfRule type="cellIs" dxfId="115" priority="142" stopIfTrue="1" operator="greaterThan">
      <formula>$N$52</formula>
    </cfRule>
  </conditionalFormatting>
  <conditionalFormatting sqref="H54 N54:N55">
    <cfRule type="cellIs" dxfId="114" priority="140" stopIfTrue="1" operator="equal">
      <formula>"ja"</formula>
    </cfRule>
    <cfRule type="cellIs" dxfId="113" priority="141" stopIfTrue="1" operator="equal">
      <formula>"nein"</formula>
    </cfRule>
  </conditionalFormatting>
  <conditionalFormatting sqref="N13:N21">
    <cfRule type="expression" dxfId="112" priority="112">
      <formula>AND($U13="RVm",$J13&gt;0,E13&gt;0)</formula>
    </cfRule>
  </conditionalFormatting>
  <conditionalFormatting sqref="K13:K21">
    <cfRule type="expression" dxfId="111" priority="120" stopIfTrue="1">
      <formula>AND($J13&gt;0,$D13="x",E13&gt;0)</formula>
    </cfRule>
  </conditionalFormatting>
  <conditionalFormatting sqref="L11 L13:L22">
    <cfRule type="expression" dxfId="110" priority="119" stopIfTrue="1">
      <formula>$J11&gt;0</formula>
    </cfRule>
  </conditionalFormatting>
  <conditionalFormatting sqref="K9:N10">
    <cfRule type="cellIs" dxfId="109" priority="118" stopIfTrue="1" operator="equal">
      <formula>""</formula>
    </cfRule>
  </conditionalFormatting>
  <conditionalFormatting sqref="N9:N10">
    <cfRule type="cellIs" dxfId="108" priority="117" stopIfTrue="1" operator="equal">
      <formula>""</formula>
    </cfRule>
  </conditionalFormatting>
  <conditionalFormatting sqref="M11 M13:M22">
    <cfRule type="expression" dxfId="107" priority="116" stopIfTrue="1">
      <formula>$J11&gt;0</formula>
    </cfRule>
  </conditionalFormatting>
  <conditionalFormatting sqref="K11">
    <cfRule type="expression" dxfId="106" priority="115" stopIfTrue="1">
      <formula>AND($J11&gt;0,$D11="x")</formula>
    </cfRule>
  </conditionalFormatting>
  <conditionalFormatting sqref="L11">
    <cfRule type="expression" dxfId="105" priority="114" stopIfTrue="1">
      <formula>$J11&gt;0</formula>
    </cfRule>
  </conditionalFormatting>
  <conditionalFormatting sqref="M11">
    <cfRule type="expression" dxfId="104" priority="113" stopIfTrue="1">
      <formula>$J11&gt;0</formula>
    </cfRule>
  </conditionalFormatting>
  <conditionalFormatting sqref="N11">
    <cfRule type="expression" dxfId="103" priority="122">
      <formula>AND($J11&gt;0,E11&gt;0,ISNUMBER(E11))</formula>
    </cfRule>
  </conditionalFormatting>
  <conditionalFormatting sqref="K22">
    <cfRule type="expression" dxfId="102" priority="111" stopIfTrue="1">
      <formula>AND($J22&gt;0,$D22="x",E22&gt;0)</formula>
    </cfRule>
  </conditionalFormatting>
  <conditionalFormatting sqref="L22">
    <cfRule type="expression" dxfId="101" priority="110" stopIfTrue="1">
      <formula>J22&gt;0</formula>
    </cfRule>
  </conditionalFormatting>
  <conditionalFormatting sqref="M22">
    <cfRule type="expression" dxfId="100" priority="109" stopIfTrue="1">
      <formula>J22&gt;0</formula>
    </cfRule>
  </conditionalFormatting>
  <conditionalFormatting sqref="C9">
    <cfRule type="expression" dxfId="99" priority="94" stopIfTrue="1">
      <formula>OR(ISNUMBER(E11),ISNUMBER(E12))</formula>
    </cfRule>
  </conditionalFormatting>
  <conditionalFormatting sqref="C10">
    <cfRule type="expression" dxfId="98" priority="93" stopIfTrue="1">
      <formula>OR(ISNUMBER(E11),ISNUMBER(E12))</formula>
    </cfRule>
  </conditionalFormatting>
  <conditionalFormatting sqref="C11">
    <cfRule type="expression" dxfId="97" priority="92" stopIfTrue="1">
      <formula>OR(ISNUMBER(E11),ISNUMBER(E12))</formula>
    </cfRule>
  </conditionalFormatting>
  <conditionalFormatting sqref="J11">
    <cfRule type="expression" dxfId="96" priority="90" stopIfTrue="1">
      <formula xml:space="preserve"> D11="x"</formula>
    </cfRule>
  </conditionalFormatting>
  <conditionalFormatting sqref="J13:J21">
    <cfRule type="expression" dxfId="95" priority="80" stopIfTrue="1">
      <formula xml:space="preserve"> AND(D13="x",E13&gt;0)</formula>
    </cfRule>
  </conditionalFormatting>
  <conditionalFormatting sqref="J22">
    <cfRule type="expression" dxfId="94" priority="79" stopIfTrue="1">
      <formula>AND( D22="x",E22&gt;0)</formula>
    </cfRule>
  </conditionalFormatting>
  <conditionalFormatting sqref="H52">
    <cfRule type="expression" dxfId="93" priority="78" stopIfTrue="1">
      <formula>LEFT($H$52,5) = "Gebie"</formula>
    </cfRule>
  </conditionalFormatting>
  <conditionalFormatting sqref="I1">
    <cfRule type="expression" dxfId="92" priority="77" stopIfTrue="1">
      <formula>LEFT($I$1,5) = "Betr."</formula>
    </cfRule>
  </conditionalFormatting>
  <conditionalFormatting sqref="I2">
    <cfRule type="expression" dxfId="91" priority="76" stopIfTrue="1">
      <formula xml:space="preserve"> LEFT($I$2,5) = "Adres"</formula>
    </cfRule>
  </conditionalFormatting>
  <conditionalFormatting sqref="D86">
    <cfRule type="expression" dxfId="90" priority="146" stopIfTrue="1">
      <formula>#REF!=0</formula>
    </cfRule>
  </conditionalFormatting>
  <conditionalFormatting sqref="E93:F93">
    <cfRule type="expression" dxfId="89" priority="72" stopIfTrue="1">
      <formula>OR(AND($AC$11=1,$AD$168="ok"),AND($AC$11=2,$AE$168="ok"))</formula>
    </cfRule>
    <cfRule type="expression" dxfId="88" priority="73" stopIfTrue="1">
      <formula>OR(AND($AC$11=1,$AD$168="nein"),AND($AC$11=2,$AE$168="nein"))</formula>
    </cfRule>
  </conditionalFormatting>
  <conditionalFormatting sqref="E94:F94">
    <cfRule type="expression" dxfId="87" priority="74" stopIfTrue="1">
      <formula>OR(AND($AC$11=1,$AD$169="ok"),AND($AC$11=2,$AE$169="ok"))</formula>
    </cfRule>
    <cfRule type="expression" dxfId="86" priority="75" stopIfTrue="1">
      <formula>OR(AND($AC$11=1,$AD$169="nein"),AND($AC$11=2,$AE$169="nein"))</formula>
    </cfRule>
  </conditionalFormatting>
  <conditionalFormatting sqref="G93:G94">
    <cfRule type="cellIs" dxfId="85" priority="70" stopIfTrue="1" operator="equal">
      <formula>"nein"</formula>
    </cfRule>
    <cfRule type="cellIs" dxfId="84" priority="71" stopIfTrue="1" operator="equal">
      <formula>"ja"</formula>
    </cfRule>
  </conditionalFormatting>
  <conditionalFormatting sqref="J89">
    <cfRule type="cellIs" dxfId="83" priority="67" stopIfTrue="1" operator="equal">
      <formula>1</formula>
    </cfRule>
    <cfRule type="cellIs" dxfId="82" priority="68" stopIfTrue="1" operator="greaterThan">
      <formula>0.95</formula>
    </cfRule>
    <cfRule type="cellIs" dxfId="81" priority="69" stopIfTrue="1" operator="equal">
      <formula>0</formula>
    </cfRule>
  </conditionalFormatting>
  <conditionalFormatting sqref="M73:M79">
    <cfRule type="cellIs" dxfId="80" priority="64" stopIfTrue="1" operator="equal">
      <formula>0</formula>
    </cfRule>
  </conditionalFormatting>
  <conditionalFormatting sqref="J5">
    <cfRule type="containsText" dxfId="79" priority="62" stopIfTrue="1" operator="containsText" text="Sie ">
      <formula>NOT(ISERROR(SEARCH("Sie ",J5)))</formula>
    </cfRule>
  </conditionalFormatting>
  <conditionalFormatting sqref="I19">
    <cfRule type="expression" dxfId="78" priority="61" stopIfTrue="1">
      <formula>AND(D19="X",ISNUMBER(E19),E19&gt;0)</formula>
    </cfRule>
  </conditionalFormatting>
  <conditionalFormatting sqref="I17">
    <cfRule type="expression" dxfId="77" priority="55" stopIfTrue="1">
      <formula>AND(D17="X",ISNUMBER(E17),E17&gt;0)</formula>
    </cfRule>
  </conditionalFormatting>
  <conditionalFormatting sqref="I18">
    <cfRule type="expression" dxfId="76" priority="54" stopIfTrue="1">
      <formula>AND(D18="X",ISNUMBER(E18),E18&gt;0)</formula>
    </cfRule>
  </conditionalFormatting>
  <conditionalFormatting sqref="I20">
    <cfRule type="expression" dxfId="75" priority="53" stopIfTrue="1">
      <formula>AND(D20="X",ISNUMBER(E20),E20&gt;0)</formula>
    </cfRule>
  </conditionalFormatting>
  <conditionalFormatting sqref="I21">
    <cfRule type="expression" dxfId="74" priority="52" stopIfTrue="1">
      <formula>AND(D21="X",ISNUMBER(E21),E21&gt;0)</formula>
    </cfRule>
  </conditionalFormatting>
  <conditionalFormatting sqref="I22">
    <cfRule type="expression" dxfId="73" priority="51" stopIfTrue="1">
      <formula>AND(D22="X",ISNUMBER(E22),E22&gt;0)</formula>
    </cfRule>
  </conditionalFormatting>
  <conditionalFormatting sqref="E19">
    <cfRule type="expression" dxfId="72" priority="50" stopIfTrue="1">
      <formula>D19="X"</formula>
    </cfRule>
  </conditionalFormatting>
  <conditionalFormatting sqref="E20">
    <cfRule type="expression" dxfId="71" priority="49" stopIfTrue="1">
      <formula>D20="X"</formula>
    </cfRule>
  </conditionalFormatting>
  <conditionalFormatting sqref="E21">
    <cfRule type="expression" dxfId="70" priority="48" stopIfTrue="1">
      <formula>D21="X"</formula>
    </cfRule>
  </conditionalFormatting>
  <conditionalFormatting sqref="E22">
    <cfRule type="expression" dxfId="69" priority="47" stopIfTrue="1">
      <formula>D22="X"</formula>
    </cfRule>
  </conditionalFormatting>
  <conditionalFormatting sqref="E18">
    <cfRule type="expression" dxfId="68" priority="46" stopIfTrue="1">
      <formula>D18="X"</formula>
    </cfRule>
  </conditionalFormatting>
  <conditionalFormatting sqref="E17">
    <cfRule type="expression" dxfId="67" priority="45" stopIfTrue="1">
      <formula>D17="X"</formula>
    </cfRule>
  </conditionalFormatting>
  <conditionalFormatting sqref="E11">
    <cfRule type="expression" dxfId="66" priority="43" stopIfTrue="1">
      <formula>D11="X"</formula>
    </cfRule>
  </conditionalFormatting>
  <conditionalFormatting sqref="K11 K13:K22">
    <cfRule type="expression" dxfId="65" priority="41" stopIfTrue="1">
      <formula>AND(K11,OR(D11&lt;&gt;"x",J11=0))</formula>
    </cfRule>
  </conditionalFormatting>
  <conditionalFormatting sqref="J11 J13:J22">
    <cfRule type="expression" dxfId="64" priority="40" stopIfTrue="1">
      <formula>AND(D11&lt;&gt;"x",J11&gt;0)</formula>
    </cfRule>
  </conditionalFormatting>
  <conditionalFormatting sqref="N22">
    <cfRule type="expression" dxfId="63" priority="39" stopIfTrue="1">
      <formula>AND($U22="RVm",$J22&gt;0,E22&gt;0)</formula>
    </cfRule>
  </conditionalFormatting>
  <conditionalFormatting sqref="G17:G22">
    <cfRule type="expression" dxfId="62" priority="34" stopIfTrue="1">
      <formula>U17&lt;&gt;"GF"</formula>
    </cfRule>
    <cfRule type="expression" dxfId="61" priority="35" stopIfTrue="1">
      <formula>U17="GF"</formula>
    </cfRule>
  </conditionalFormatting>
  <conditionalFormatting sqref="G25">
    <cfRule type="expression" dxfId="60" priority="26">
      <formula>$H$25 &lt;&gt; "A3"</formula>
    </cfRule>
  </conditionalFormatting>
  <conditionalFormatting sqref="I50:I51">
    <cfRule type="containsText" dxfId="59" priority="32" stopIfTrue="1" operator="containsText" text="Fehler">
      <formula>NOT(ISERROR(SEARCH("Fehler",I50)))</formula>
    </cfRule>
  </conditionalFormatting>
  <conditionalFormatting sqref="C83">
    <cfRule type="expression" dxfId="58" priority="163" stopIfTrue="1">
      <formula>OR($E$83&lt;&gt;0,$G$83&lt;&gt;0,$H$83&lt;&gt;0,$I$83&lt;&gt;0)</formula>
    </cfRule>
  </conditionalFormatting>
  <conditionalFormatting sqref="K50:K51">
    <cfRule type="containsText" dxfId="57" priority="30" stopIfTrue="1" operator="containsText" text="Fehler">
      <formula>NOT(ISERROR(SEARCH("Fehler",K50)))</formula>
    </cfRule>
  </conditionalFormatting>
  <conditionalFormatting sqref="L54">
    <cfRule type="cellIs" dxfId="56" priority="28" stopIfTrue="1" operator="equal">
      <formula>"ja"</formula>
    </cfRule>
  </conditionalFormatting>
  <conditionalFormatting sqref="L50:L51 N50:N51">
    <cfRule type="expression" dxfId="55" priority="27">
      <formula>($L$50+$N$50)&gt;0.15</formula>
    </cfRule>
  </conditionalFormatting>
  <conditionalFormatting sqref="O50">
    <cfRule type="cellIs" dxfId="54" priority="25" operator="between">
      <formula>0.15</formula>
      <formula>1.5</formula>
    </cfRule>
  </conditionalFormatting>
  <conditionalFormatting sqref="O49">
    <cfRule type="expression" dxfId="53" priority="24">
      <formula>AND($O$50&gt;0.15,$O$50&lt;1.5)</formula>
    </cfRule>
  </conditionalFormatting>
  <conditionalFormatting sqref="H25">
    <cfRule type="containsText" dxfId="52" priority="22" operator="containsText" text="W&amp;W-Futter">
      <formula>NOT(ISERROR(SEARCH("W&amp;W-Futter",H25)))</formula>
    </cfRule>
  </conditionalFormatting>
  <conditionalFormatting sqref="N12">
    <cfRule type="expression" dxfId="51" priority="18">
      <formula>AND($U12="RVm",$J12&gt;0,E12&gt;0)</formula>
    </cfRule>
  </conditionalFormatting>
  <conditionalFormatting sqref="K12">
    <cfRule type="expression" dxfId="50" priority="21" stopIfTrue="1">
      <formula>AND($J12&gt;0,$D12="x",E12&gt;0)</formula>
    </cfRule>
  </conditionalFormatting>
  <conditionalFormatting sqref="L12">
    <cfRule type="expression" dxfId="49" priority="20" stopIfTrue="1">
      <formula>$J12&gt;0</formula>
    </cfRule>
  </conditionalFormatting>
  <conditionalFormatting sqref="M12">
    <cfRule type="expression" dxfId="48" priority="19" stopIfTrue="1">
      <formula>$J12&gt;0</formula>
    </cfRule>
  </conditionalFormatting>
  <conditionalFormatting sqref="J12">
    <cfRule type="expression" dxfId="47" priority="17" stopIfTrue="1">
      <formula xml:space="preserve"> AND(D12="x",E12&gt;0)</formula>
    </cfRule>
  </conditionalFormatting>
  <conditionalFormatting sqref="K12">
    <cfRule type="expression" dxfId="46" priority="16" stopIfTrue="1">
      <formula>AND(K12,OR(D12&lt;&gt;"x",J12=0))</formula>
    </cfRule>
  </conditionalFormatting>
  <conditionalFormatting sqref="J12">
    <cfRule type="expression" dxfId="45" priority="15" stopIfTrue="1">
      <formula>AND(D12&lt;&gt;"x",J12&gt;0)</formula>
    </cfRule>
  </conditionalFormatting>
  <conditionalFormatting sqref="J10">
    <cfRule type="containsText" dxfId="44" priority="14" operator="containsText" text="Tier">
      <formula>NOT(ISERROR(SEARCH("Tier",J10)))</formula>
    </cfRule>
  </conditionalFormatting>
  <conditionalFormatting sqref="K10">
    <cfRule type="containsText" dxfId="43" priority="13" operator="containsText" text="Tag">
      <formula>NOT(ISERROR(SEARCH("Tag",K10)))</formula>
    </cfRule>
  </conditionalFormatting>
  <conditionalFormatting sqref="L10">
    <cfRule type="containsText" dxfId="42" priority="12" operator="containsText" text="total">
      <formula>NOT(ISERROR(SEARCH("total",L10)))</formula>
    </cfRule>
  </conditionalFormatting>
  <conditionalFormatting sqref="M10">
    <cfRule type="containsText" dxfId="41" priority="11" operator="containsText" text="total">
      <formula>NOT(ISERROR(SEARCH("total",M10)))</formula>
    </cfRule>
  </conditionalFormatting>
  <conditionalFormatting sqref="N10">
    <cfRule type="containsText" dxfId="40" priority="10" operator="containsText" text="total">
      <formula>NOT(ISERROR(SEARCH("total",N10)))</formula>
    </cfRule>
  </conditionalFormatting>
  <conditionalFormatting sqref="I13 I15">
    <cfRule type="expression" dxfId="39" priority="9" stopIfTrue="1">
      <formula>AND(D13="X",ISNUMBER(E13),E13&gt;0)</formula>
    </cfRule>
  </conditionalFormatting>
  <conditionalFormatting sqref="G13 G15">
    <cfRule type="expression" dxfId="38" priority="6" stopIfTrue="1">
      <formula>U13&lt;&gt;"GF"</formula>
    </cfRule>
    <cfRule type="expression" dxfId="37" priority="7" stopIfTrue="1">
      <formula>U13="GF"</formula>
    </cfRule>
  </conditionalFormatting>
  <conditionalFormatting sqref="E13 E15">
    <cfRule type="expression" dxfId="36" priority="5" stopIfTrue="1">
      <formula>D13="X"</formula>
    </cfRule>
  </conditionalFormatting>
  <conditionalFormatting sqref="B55">
    <cfRule type="expression" dxfId="35" priority="4">
      <formula>$N$55="nein"</formula>
    </cfRule>
  </conditionalFormatting>
  <conditionalFormatting sqref="C13">
    <cfRule type="expression" dxfId="34" priority="3" stopIfTrue="1">
      <formula>OR(ISNUMBER(E13),ISNUMBER(E14))</formula>
    </cfRule>
  </conditionalFormatting>
  <conditionalFormatting sqref="C15">
    <cfRule type="expression" dxfId="33" priority="2" stopIfTrue="1">
      <formula>OR(ISNUMBER(E15),ISNUMBER(E16))</formula>
    </cfRule>
  </conditionalFormatting>
  <conditionalFormatting sqref="N50">
    <cfRule type="expression" dxfId="32" priority="1">
      <formula>$N$55="nein"</formula>
    </cfRule>
  </conditionalFormatting>
  <dataValidations count="6">
    <dataValidation type="list" allowBlank="1" showInputMessage="1" showErrorMessage="1" sqref="K5" xr:uid="{00000000-0002-0000-0300-000000000000}">
      <formula1 xml:space="preserve"> GMF_Gebiet</formula1>
    </dataValidation>
    <dataValidation type="decimal" allowBlank="1" showInputMessage="1" showErrorMessage="1" errorTitle="Sö: Anzahl Tiere" error="nur positive Anzahl möglich" sqref="J11:J22" xr:uid="{00000000-0002-0000-0300-000001000000}">
      <formula1>0</formula1>
      <formula2>100000</formula2>
    </dataValidation>
    <dataValidation type="decimal" allowBlank="1" showInputMessage="1" showErrorMessage="1" errorTitle="Sö. Anzahl Tage" error="nur 0 - 365 möglich" sqref="K11:K22" xr:uid="{00000000-0002-0000-0300-000002000000}">
      <formula1>0</formula1>
      <formula2>365</formula2>
    </dataValidation>
    <dataValidation type="decimal" operator="greaterThanOrEqual" allowBlank="1" showInputMessage="1" showErrorMessage="1" errorTitle="Kraftfutter Sömmerung" error="negativer Wert nicht möglich" sqref="N11:N22" xr:uid="{00000000-0002-0000-0300-000003000000}">
      <formula1>0</formula1>
    </dataValidation>
    <dataValidation type="decimal" operator="greaterThanOrEqual" allowBlank="1" showInputMessage="1" showErrorMessage="1" errorTitle="Kraftfutter:" error="negativer Wert nicht möglich" sqref="I12:I22" xr:uid="{00000000-0002-0000-0300-000004000000}">
      <formula1>0</formula1>
    </dataValidation>
    <dataValidation type="custom" allowBlank="1" showInputMessage="1" showErrorMessage="1" errorTitle="davon Wiesen- &amp; Weidefutter" error="Menge Wiesen- &amp; Weidefutter kann nicht grösser als GF-Verzehr sein" promptTitle="davon Wiesen- &amp; Weidefutter" prompt="_x000a_Angabe nur bei &quot;übrigen Tieren mit GF-Verzehr&quot; nötig (nicht bei Kategorie &quot;Raufutterverzehrer&quot;) " sqref="G17:G22" xr:uid="{00000000-0002-0000-0300-000005000000}">
      <formula1>G17&lt;= F17</formula1>
    </dataValidation>
  </dataValidations>
  <hyperlinks>
    <hyperlink ref="Q35" r:id="rId1" xr:uid="{00000000-0004-0000-0300-000000000000}"/>
    <hyperlink ref="Q106" r:id="rId2" xr:uid="{00000000-0004-0000-0300-000001000000}"/>
  </hyperlinks>
  <pageMargins left="0.59055118110236227" right="0" top="0.19685039370078741" bottom="0.19685039370078741" header="0" footer="0.11811023622047245"/>
  <pageSetup paperSize="9" orientation="portrait" horizontalDpi="1200" verticalDpi="1200" r:id="rId3"/>
  <headerFooter>
    <oddFooter>&amp;C&amp;"Arial Narrow,Standard"&amp;8&amp;F, &amp;D</oddFooter>
  </headerFooter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67" r:id="rId6" name="Button 51">
              <controlPr defaultSize="0" print="0" autoFill="0" autoLine="0" autoPict="0" macro="[0]!Drucke_Seite_Anz_1">
                <anchor moveWithCells="1">
                  <from>
                    <xdr:col>14</xdr:col>
                    <xdr:colOff>76200</xdr:colOff>
                    <xdr:row>53</xdr:row>
                    <xdr:rowOff>152400</xdr:rowOff>
                  </from>
                  <to>
                    <xdr:col>14</xdr:col>
                    <xdr:colOff>809625</xdr:colOff>
                    <xdr:row>55</xdr:row>
                    <xdr:rowOff>114300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9" stopIfTrue="1" operator="containsText" id="{BC8B8D11-0380-413C-8550-F42202DC4724}">
            <xm:f>NOT(ISERROR(SEARCH("nein",L54)))</xm:f>
            <xm:f>"nein"</xm:f>
            <x14:dxf>
              <font>
                <b/>
                <i val="0"/>
                <color rgb="FFFF0000"/>
              </font>
            </x14:dxf>
          </x14:cfRule>
          <xm:sqref>L54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indexed="46"/>
    <pageSetUpPr fitToPage="1"/>
  </sheetPr>
  <dimension ref="A1:S203"/>
  <sheetViews>
    <sheetView showGridLines="0" showRowColHeaders="0" tabSelected="1" zoomScale="115" zoomScaleNormal="115" workbookViewId="0">
      <selection activeCell="C22" sqref="C22"/>
    </sheetView>
  </sheetViews>
  <sheetFormatPr baseColWidth="10" defaultColWidth="11.42578125" defaultRowHeight="14.25"/>
  <cols>
    <col min="1" max="1" width="8.7109375" style="192" customWidth="1"/>
    <col min="2" max="2" width="13.28515625" style="192" customWidth="1"/>
    <col min="3" max="3" width="11.42578125" style="192"/>
    <col min="4" max="4" width="7" style="192" customWidth="1"/>
    <col min="5" max="5" width="16.7109375" style="192" customWidth="1"/>
    <col min="6" max="6" width="6.7109375" style="192" customWidth="1"/>
    <col min="7" max="7" width="5.85546875" style="230" customWidth="1"/>
    <col min="8" max="10" width="5.7109375" style="192" customWidth="1"/>
    <col min="11" max="11" width="5.85546875" style="192" customWidth="1"/>
    <col min="12" max="15" width="7.5703125" style="192" customWidth="1"/>
    <col min="16" max="17" width="9.140625" style="192" customWidth="1"/>
    <col min="18" max="18" width="2.5703125" style="252" customWidth="1"/>
    <col min="19" max="19" width="48" style="197" customWidth="1"/>
    <col min="20" max="16384" width="11.42578125" style="192"/>
  </cols>
  <sheetData>
    <row r="1" spans="1:19">
      <c r="A1" s="1246" t="s">
        <v>479</v>
      </c>
      <c r="B1" s="1247"/>
      <c r="C1" s="1247"/>
      <c r="D1" s="1247"/>
      <c r="E1" s="1247"/>
      <c r="F1" s="1247"/>
      <c r="G1" s="1248"/>
      <c r="H1" s="1247"/>
      <c r="I1" s="1247"/>
      <c r="J1" s="1247"/>
      <c r="K1" s="1247"/>
      <c r="L1" s="1247"/>
      <c r="M1" s="1247"/>
      <c r="N1" s="1247"/>
      <c r="O1" s="1247"/>
      <c r="P1" s="1247"/>
      <c r="Q1" s="1247"/>
    </row>
    <row r="2" spans="1:19" ht="18" customHeight="1">
      <c r="A2" s="992" t="s">
        <v>215</v>
      </c>
      <c r="B2" s="236"/>
      <c r="C2" s="236"/>
      <c r="D2" s="236"/>
      <c r="E2" s="236"/>
      <c r="F2" s="236"/>
      <c r="G2" s="237"/>
      <c r="H2" s="236"/>
      <c r="I2" s="236"/>
      <c r="J2" s="236"/>
      <c r="K2" s="236"/>
      <c r="L2" s="236"/>
      <c r="M2" s="236"/>
      <c r="N2" s="238"/>
      <c r="S2" s="1609" t="s">
        <v>459</v>
      </c>
    </row>
    <row r="3" spans="1:19">
      <c r="A3" s="247" t="s">
        <v>23</v>
      </c>
      <c r="B3" s="236"/>
      <c r="C3" s="236"/>
      <c r="D3" s="236"/>
      <c r="E3" s="236"/>
      <c r="F3" s="236"/>
      <c r="G3" s="237"/>
      <c r="H3" s="236"/>
      <c r="I3" s="236"/>
      <c r="J3" s="236"/>
      <c r="K3" s="236"/>
      <c r="L3" s="236"/>
      <c r="M3" s="236"/>
      <c r="N3" s="238"/>
      <c r="S3" s="1610" t="s">
        <v>514</v>
      </c>
    </row>
    <row r="4" spans="1:19">
      <c r="A4" s="247" t="s">
        <v>25</v>
      </c>
      <c r="B4" s="236"/>
      <c r="C4" s="236"/>
      <c r="D4" s="236"/>
      <c r="E4" s="236"/>
      <c r="F4" s="236"/>
      <c r="G4" s="237"/>
      <c r="H4" s="236"/>
      <c r="I4" s="236"/>
      <c r="J4" s="236"/>
      <c r="K4" s="236"/>
      <c r="L4" s="236"/>
      <c r="M4" s="236"/>
      <c r="N4" s="238"/>
      <c r="S4" s="1611" t="s">
        <v>515</v>
      </c>
    </row>
    <row r="5" spans="1:19">
      <c r="A5" s="247" t="s">
        <v>26</v>
      </c>
      <c r="B5" s="236"/>
      <c r="C5" s="236"/>
      <c r="D5" s="236"/>
      <c r="E5" s="236"/>
      <c r="F5" s="236"/>
      <c r="G5" s="237"/>
      <c r="H5" s="236"/>
      <c r="I5" s="236"/>
      <c r="J5" s="236"/>
      <c r="K5" s="236"/>
      <c r="L5" s="236"/>
      <c r="M5" s="236"/>
      <c r="N5" s="238"/>
      <c r="S5" s="1612" t="s">
        <v>516</v>
      </c>
    </row>
    <row r="6" spans="1:19">
      <c r="A6" s="248" t="s">
        <v>27</v>
      </c>
      <c r="B6" s="236"/>
      <c r="C6" s="236"/>
      <c r="D6" s="236"/>
      <c r="E6" s="236"/>
      <c r="F6" s="236"/>
      <c r="G6" s="237"/>
      <c r="H6" s="236"/>
      <c r="I6" s="236"/>
      <c r="J6" s="236"/>
      <c r="K6" s="236"/>
      <c r="L6" s="236"/>
      <c r="M6" s="236"/>
      <c r="N6" s="238"/>
    </row>
    <row r="7" spans="1:19">
      <c r="A7" s="304"/>
      <c r="N7" s="238"/>
    </row>
    <row r="8" spans="1:19" ht="21.75" customHeight="1">
      <c r="A8" s="180" t="s">
        <v>28</v>
      </c>
      <c r="E8" s="193"/>
      <c r="F8" s="194"/>
      <c r="H8" s="195" t="s">
        <v>29</v>
      </c>
      <c r="I8" s="3471"/>
      <c r="J8" s="3471"/>
      <c r="K8" s="196"/>
      <c r="L8" s="195" t="s">
        <v>30</v>
      </c>
      <c r="M8" s="3473"/>
      <c r="N8" s="3474"/>
      <c r="O8" s="3474"/>
      <c r="P8" s="195" t="s">
        <v>31</v>
      </c>
      <c r="Q8" s="225"/>
      <c r="R8" s="261"/>
    </row>
    <row r="9" spans="1:19" ht="15.75" customHeight="1">
      <c r="A9" s="197" t="s">
        <v>37</v>
      </c>
      <c r="B9" s="197"/>
      <c r="C9" s="197"/>
      <c r="D9" s="197"/>
      <c r="E9" s="197"/>
      <c r="F9" s="198"/>
      <c r="G9" s="231"/>
      <c r="H9" s="199" t="s">
        <v>38</v>
      </c>
      <c r="I9" s="3472"/>
      <c r="J9" s="3472"/>
      <c r="K9" s="193"/>
      <c r="L9" s="193"/>
      <c r="M9" s="3469"/>
      <c r="N9" s="3470"/>
      <c r="O9" s="3470"/>
    </row>
    <row r="10" spans="1:19" ht="15.75" customHeight="1">
      <c r="A10" s="197"/>
      <c r="B10" s="202" t="s">
        <v>39</v>
      </c>
      <c r="C10" s="197"/>
      <c r="D10" s="197"/>
      <c r="E10" s="197"/>
      <c r="F10" s="198"/>
      <c r="G10" s="231"/>
      <c r="H10" s="198"/>
      <c r="I10" s="193"/>
      <c r="J10" s="193"/>
      <c r="K10" s="193"/>
      <c r="L10" s="193"/>
      <c r="M10" s="3469"/>
      <c r="N10" s="3470"/>
      <c r="O10" s="3470"/>
      <c r="Q10" s="226" t="s">
        <v>40</v>
      </c>
      <c r="R10" s="253"/>
    </row>
    <row r="11" spans="1:19" ht="17.25" customHeight="1" thickBot="1">
      <c r="A11" s="200"/>
      <c r="B11" s="200" t="s">
        <v>712</v>
      </c>
      <c r="C11" s="197"/>
      <c r="D11" s="197"/>
      <c r="E11" s="197"/>
      <c r="F11" s="198"/>
      <c r="G11" s="231"/>
      <c r="H11" s="198"/>
      <c r="I11" s="197"/>
      <c r="J11" s="193"/>
      <c r="K11" s="193"/>
      <c r="L11" s="193"/>
      <c r="O11"/>
      <c r="P11"/>
      <c r="Q11"/>
      <c r="R11" s="262"/>
    </row>
    <row r="12" spans="1:19" ht="17.25" customHeight="1" thickBot="1">
      <c r="A12" s="202"/>
      <c r="B12" s="197" t="s">
        <v>41</v>
      </c>
      <c r="C12" s="197"/>
      <c r="D12" s="197"/>
      <c r="E12" s="197"/>
      <c r="N12" s="201" t="s">
        <v>42</v>
      </c>
      <c r="O12" s="203"/>
      <c r="P12" s="239" t="s">
        <v>43</v>
      </c>
      <c r="Q12" s="240" t="s">
        <v>44</v>
      </c>
      <c r="R12" s="254"/>
    </row>
    <row r="13" spans="1:19" ht="20.100000000000001" customHeight="1" thickBot="1">
      <c r="A13" s="202"/>
      <c r="B13"/>
      <c r="C13" s="197"/>
      <c r="D13" s="197"/>
      <c r="E13" s="197"/>
      <c r="O13" s="203" t="s">
        <v>45</v>
      </c>
      <c r="P13" s="1608"/>
      <c r="Q13" s="1608"/>
      <c r="R13" s="263"/>
    </row>
    <row r="14" spans="1:19" ht="11.25" customHeight="1">
      <c r="P14" s="204"/>
    </row>
    <row r="15" spans="1:19" s="205" customFormat="1" ht="27.75" customHeight="1">
      <c r="A15" s="181" t="s">
        <v>46</v>
      </c>
      <c r="B15" s="182" t="s">
        <v>47</v>
      </c>
      <c r="C15" s="183" t="s">
        <v>48</v>
      </c>
      <c r="D15" s="184" t="s">
        <v>49</v>
      </c>
      <c r="E15" s="182" t="s">
        <v>50</v>
      </c>
      <c r="F15" s="241" t="s">
        <v>51</v>
      </c>
      <c r="G15" s="245" t="s">
        <v>52</v>
      </c>
      <c r="H15" s="222" t="s">
        <v>53</v>
      </c>
      <c r="I15" s="185"/>
      <c r="J15" s="185"/>
      <c r="K15" s="186"/>
      <c r="L15" s="235" t="s">
        <v>55</v>
      </c>
      <c r="M15" s="185"/>
      <c r="N15" s="185"/>
      <c r="O15" s="186"/>
      <c r="P15" s="242" t="s">
        <v>56</v>
      </c>
      <c r="Q15" s="186"/>
      <c r="R15" s="255"/>
      <c r="S15" s="200"/>
    </row>
    <row r="16" spans="1:19" s="205" customFormat="1" ht="18.75">
      <c r="A16" s="187"/>
      <c r="B16" s="188"/>
      <c r="C16" s="189"/>
      <c r="D16" s="218" t="s">
        <v>57</v>
      </c>
      <c r="E16" s="229" t="s">
        <v>58</v>
      </c>
      <c r="F16" s="221" t="s">
        <v>59</v>
      </c>
      <c r="G16" s="246" t="s">
        <v>60</v>
      </c>
      <c r="H16" s="229" t="s">
        <v>61</v>
      </c>
      <c r="I16" s="221" t="s">
        <v>62</v>
      </c>
      <c r="J16" s="221" t="s">
        <v>63</v>
      </c>
      <c r="K16" s="218" t="s">
        <v>64</v>
      </c>
      <c r="L16" s="191" t="s">
        <v>65</v>
      </c>
      <c r="M16" s="191" t="s">
        <v>66</v>
      </c>
      <c r="N16" s="191" t="s">
        <v>67</v>
      </c>
      <c r="O16" s="190" t="s">
        <v>64</v>
      </c>
      <c r="P16" s="249" t="s">
        <v>68</v>
      </c>
      <c r="Q16" s="250" t="s">
        <v>69</v>
      </c>
      <c r="R16" s="256"/>
      <c r="S16" s="200"/>
    </row>
    <row r="17" spans="1:19" ht="18.95" customHeight="1">
      <c r="A17" s="1615">
        <v>44256</v>
      </c>
      <c r="B17" s="1616" t="s">
        <v>460</v>
      </c>
      <c r="C17" s="1617" t="s">
        <v>461</v>
      </c>
      <c r="D17" s="1618">
        <v>3</v>
      </c>
      <c r="E17" s="1616" t="s">
        <v>462</v>
      </c>
      <c r="F17" s="1617">
        <v>5.5</v>
      </c>
      <c r="G17" s="1619" t="s">
        <v>584</v>
      </c>
      <c r="H17" s="1616">
        <v>27</v>
      </c>
      <c r="I17" s="1617"/>
      <c r="J17" s="1617"/>
      <c r="K17" s="1620"/>
      <c r="L17" s="223">
        <f>F17*H17</f>
        <v>148.5</v>
      </c>
      <c r="M17" s="224">
        <f t="shared" ref="M17:M33" si="0">F17*I17</f>
        <v>0</v>
      </c>
      <c r="N17" s="224">
        <f t="shared" ref="N17:N33" si="1">F17*J17</f>
        <v>0</v>
      </c>
      <c r="O17" s="224">
        <f t="shared" ref="O17:O33" si="2">F17*K17</f>
        <v>0</v>
      </c>
      <c r="P17" s="1613">
        <f>IF(ISBLANK(F17),"",$P$13-SUM($L$17:L17))</f>
        <v>-148.5</v>
      </c>
      <c r="Q17" s="1614">
        <f>IF(ISBLANK(F17),"",$Q$13-SUM($M$17:M17))</f>
        <v>0</v>
      </c>
      <c r="R17" s="259"/>
      <c r="S17" s="251" t="str">
        <f>IF(AND(ISBLANK(F17)=FALSE,ISBLANK(G17)),"Einheit eintragen (z.B. kg, dt, t, m3, etc.)","")</f>
        <v/>
      </c>
    </row>
    <row r="18" spans="1:19" ht="18.95" customHeight="1">
      <c r="A18" s="1615"/>
      <c r="B18" s="1616"/>
      <c r="C18" s="1617"/>
      <c r="D18" s="1618"/>
      <c r="E18" s="1616"/>
      <c r="F18" s="1617"/>
      <c r="G18" s="1619"/>
      <c r="H18" s="1616"/>
      <c r="I18" s="1617"/>
      <c r="J18" s="1617"/>
      <c r="K18" s="1617"/>
      <c r="L18" s="223">
        <f t="shared" ref="L18:L33" si="3">F18*H18</f>
        <v>0</v>
      </c>
      <c r="M18" s="224">
        <f t="shared" si="0"/>
        <v>0</v>
      </c>
      <c r="N18" s="224">
        <f t="shared" si="1"/>
        <v>0</v>
      </c>
      <c r="O18" s="224">
        <f t="shared" si="2"/>
        <v>0</v>
      </c>
      <c r="P18" s="1613" t="str">
        <f>IF(ISBLANK(F18),"",$P$13-SUM($L$17:L18))</f>
        <v/>
      </c>
      <c r="Q18" s="1614" t="str">
        <f>IF(ISBLANK(F18),"",$Q$13-SUM($M$17:M18))</f>
        <v/>
      </c>
      <c r="R18" s="259"/>
      <c r="S18" s="251" t="str">
        <f t="shared" ref="S18:S33" si="4">IF(AND(ISBLANK(F18)=FALSE,ISBLANK(G18)),"Einheit eintragen (z.B. kg, dt, t, m3, etc.)","")</f>
        <v/>
      </c>
    </row>
    <row r="19" spans="1:19" ht="18.95" customHeight="1">
      <c r="A19" s="1615"/>
      <c r="B19" s="1616"/>
      <c r="C19" s="1617"/>
      <c r="D19" s="1618"/>
      <c r="E19" s="1616"/>
      <c r="F19" s="1617"/>
      <c r="G19" s="1619"/>
      <c r="H19" s="1616"/>
      <c r="I19" s="1617"/>
      <c r="J19" s="1617"/>
      <c r="K19" s="1617"/>
      <c r="L19" s="223">
        <f t="shared" si="3"/>
        <v>0</v>
      </c>
      <c r="M19" s="224">
        <f t="shared" si="0"/>
        <v>0</v>
      </c>
      <c r="N19" s="224">
        <f t="shared" si="1"/>
        <v>0</v>
      </c>
      <c r="O19" s="224">
        <f t="shared" si="2"/>
        <v>0</v>
      </c>
      <c r="P19" s="1613" t="str">
        <f>IF(ISBLANK(F19),"",$P$13-SUM($L$17:L19))</f>
        <v/>
      </c>
      <c r="Q19" s="1614" t="str">
        <f>IF(ISBLANK(F19),"",$Q$13-SUM($M$17:M19))</f>
        <v/>
      </c>
      <c r="R19" s="259"/>
      <c r="S19" s="251" t="str">
        <f t="shared" si="4"/>
        <v/>
      </c>
    </row>
    <row r="20" spans="1:19" ht="18.95" customHeight="1">
      <c r="A20" s="1615"/>
      <c r="B20" s="1616"/>
      <c r="C20" s="1617"/>
      <c r="D20" s="1618"/>
      <c r="E20" s="1616"/>
      <c r="F20" s="1617"/>
      <c r="G20" s="1619"/>
      <c r="H20" s="1616"/>
      <c r="I20" s="1617"/>
      <c r="J20" s="1617"/>
      <c r="K20" s="1617"/>
      <c r="L20" s="223">
        <f t="shared" si="3"/>
        <v>0</v>
      </c>
      <c r="M20" s="224">
        <f t="shared" si="0"/>
        <v>0</v>
      </c>
      <c r="N20" s="224">
        <f t="shared" si="1"/>
        <v>0</v>
      </c>
      <c r="O20" s="224">
        <f t="shared" si="2"/>
        <v>0</v>
      </c>
      <c r="P20" s="1613" t="str">
        <f>IF(ISBLANK(F20),"",$P$13-SUM($L$17:L20))</f>
        <v/>
      </c>
      <c r="Q20" s="1614" t="str">
        <f>IF(ISBLANK(F20),"",$Q$13-SUM($M$17:M20))</f>
        <v/>
      </c>
      <c r="R20" s="259"/>
      <c r="S20" s="251" t="str">
        <f t="shared" si="4"/>
        <v/>
      </c>
    </row>
    <row r="21" spans="1:19" ht="18.95" customHeight="1">
      <c r="A21" s="1615"/>
      <c r="B21" s="1616"/>
      <c r="C21" s="1617"/>
      <c r="D21" s="1618"/>
      <c r="E21" s="1616"/>
      <c r="F21" s="1617"/>
      <c r="G21" s="1619"/>
      <c r="H21" s="1616"/>
      <c r="I21" s="1617"/>
      <c r="J21" s="1617"/>
      <c r="K21" s="1617"/>
      <c r="L21" s="223">
        <f t="shared" si="3"/>
        <v>0</v>
      </c>
      <c r="M21" s="224">
        <f t="shared" si="0"/>
        <v>0</v>
      </c>
      <c r="N21" s="224">
        <f t="shared" si="1"/>
        <v>0</v>
      </c>
      <c r="O21" s="224">
        <f t="shared" si="2"/>
        <v>0</v>
      </c>
      <c r="P21" s="1613" t="str">
        <f>IF(ISBLANK(F21),"",$P$13-SUM($L$17:L21))</f>
        <v/>
      </c>
      <c r="Q21" s="1614" t="str">
        <f>IF(ISBLANK(F21),"",$Q$13-SUM($M$17:M21))</f>
        <v/>
      </c>
      <c r="R21" s="259"/>
      <c r="S21" s="251" t="str">
        <f t="shared" si="4"/>
        <v/>
      </c>
    </row>
    <row r="22" spans="1:19" ht="18.95" customHeight="1">
      <c r="A22" s="1615"/>
      <c r="B22" s="1616"/>
      <c r="C22" s="1617"/>
      <c r="D22" s="1618"/>
      <c r="E22" s="1616"/>
      <c r="F22" s="1617"/>
      <c r="G22" s="1619"/>
      <c r="H22" s="1616"/>
      <c r="I22" s="1617"/>
      <c r="J22" s="1617"/>
      <c r="K22" s="1617"/>
      <c r="L22" s="223">
        <f t="shared" si="3"/>
        <v>0</v>
      </c>
      <c r="M22" s="224">
        <f t="shared" si="0"/>
        <v>0</v>
      </c>
      <c r="N22" s="224">
        <f t="shared" si="1"/>
        <v>0</v>
      </c>
      <c r="O22" s="224">
        <f t="shared" si="2"/>
        <v>0</v>
      </c>
      <c r="P22" s="1613" t="str">
        <f>IF(ISBLANK(F22),"",$P$13-SUM($L$17:L22))</f>
        <v/>
      </c>
      <c r="Q22" s="1614" t="str">
        <f>IF(ISBLANK(F22),"",$Q$13-SUM($M$17:M22))</f>
        <v/>
      </c>
      <c r="R22" s="259"/>
      <c r="S22" s="251" t="str">
        <f t="shared" si="4"/>
        <v/>
      </c>
    </row>
    <row r="23" spans="1:19" ht="18.95" customHeight="1">
      <c r="A23" s="1615"/>
      <c r="B23" s="1616"/>
      <c r="C23" s="1617"/>
      <c r="D23" s="1618"/>
      <c r="E23" s="1616"/>
      <c r="F23" s="1617"/>
      <c r="G23" s="1619"/>
      <c r="H23" s="1616"/>
      <c r="I23" s="1617"/>
      <c r="J23" s="1617"/>
      <c r="K23" s="1617"/>
      <c r="L23" s="223">
        <f t="shared" si="3"/>
        <v>0</v>
      </c>
      <c r="M23" s="224">
        <f t="shared" si="0"/>
        <v>0</v>
      </c>
      <c r="N23" s="224">
        <f t="shared" si="1"/>
        <v>0</v>
      </c>
      <c r="O23" s="224">
        <f t="shared" si="2"/>
        <v>0</v>
      </c>
      <c r="P23" s="1613" t="str">
        <f>IF(ISBLANK(F23),"",$P$13-SUM($L$17:L23))</f>
        <v/>
      </c>
      <c r="Q23" s="1614" t="str">
        <f>IF(ISBLANK(F23),"",$Q$13-SUM($M$17:M23))</f>
        <v/>
      </c>
      <c r="R23" s="259"/>
      <c r="S23" s="251" t="str">
        <f t="shared" si="4"/>
        <v/>
      </c>
    </row>
    <row r="24" spans="1:19" ht="18.95" customHeight="1">
      <c r="A24" s="1615"/>
      <c r="B24" s="1616"/>
      <c r="C24" s="1617"/>
      <c r="D24" s="1618"/>
      <c r="E24" s="1616"/>
      <c r="F24" s="1617"/>
      <c r="G24" s="1619"/>
      <c r="H24" s="1616"/>
      <c r="I24" s="1617"/>
      <c r="J24" s="1617"/>
      <c r="K24" s="1617"/>
      <c r="L24" s="223">
        <f t="shared" si="3"/>
        <v>0</v>
      </c>
      <c r="M24" s="224">
        <f t="shared" si="0"/>
        <v>0</v>
      </c>
      <c r="N24" s="224">
        <f t="shared" si="1"/>
        <v>0</v>
      </c>
      <c r="O24" s="224">
        <f t="shared" si="2"/>
        <v>0</v>
      </c>
      <c r="P24" s="1613" t="str">
        <f>IF(ISBLANK(F24),"",$P$13-SUM($L$17:L24))</f>
        <v/>
      </c>
      <c r="Q24" s="1614" t="str">
        <f>IF(ISBLANK(F24),"",$Q$13-SUM($M$17:M24))</f>
        <v/>
      </c>
      <c r="R24" s="259"/>
      <c r="S24" s="251" t="str">
        <f t="shared" si="4"/>
        <v/>
      </c>
    </row>
    <row r="25" spans="1:19" ht="18.95" customHeight="1">
      <c r="A25" s="1615"/>
      <c r="B25" s="1616"/>
      <c r="C25" s="1617"/>
      <c r="D25" s="1618"/>
      <c r="E25" s="1616"/>
      <c r="F25" s="1617"/>
      <c r="G25" s="1619"/>
      <c r="H25" s="1616"/>
      <c r="I25" s="1617"/>
      <c r="J25" s="1617"/>
      <c r="K25" s="1617"/>
      <c r="L25" s="223">
        <f t="shared" si="3"/>
        <v>0</v>
      </c>
      <c r="M25" s="224">
        <f t="shared" si="0"/>
        <v>0</v>
      </c>
      <c r="N25" s="224">
        <f t="shared" si="1"/>
        <v>0</v>
      </c>
      <c r="O25" s="224">
        <f t="shared" si="2"/>
        <v>0</v>
      </c>
      <c r="P25" s="1613" t="str">
        <f>IF(ISBLANK(F25),"",$P$13-SUM($L$17:L25))</f>
        <v/>
      </c>
      <c r="Q25" s="1614" t="str">
        <f>IF(ISBLANK(F25),"",$Q$13-SUM($M$17:M25))</f>
        <v/>
      </c>
      <c r="R25" s="259"/>
      <c r="S25" s="251" t="str">
        <f t="shared" si="4"/>
        <v/>
      </c>
    </row>
    <row r="26" spans="1:19" ht="18.95" customHeight="1">
      <c r="A26" s="1615"/>
      <c r="B26" s="1616"/>
      <c r="C26" s="1617"/>
      <c r="D26" s="1618"/>
      <c r="E26" s="1616"/>
      <c r="F26" s="1617"/>
      <c r="G26" s="1619"/>
      <c r="H26" s="1616"/>
      <c r="I26" s="1617"/>
      <c r="J26" s="1617"/>
      <c r="K26" s="1617"/>
      <c r="L26" s="223">
        <f t="shared" si="3"/>
        <v>0</v>
      </c>
      <c r="M26" s="224">
        <f t="shared" si="0"/>
        <v>0</v>
      </c>
      <c r="N26" s="224">
        <f t="shared" si="1"/>
        <v>0</v>
      </c>
      <c r="O26" s="224">
        <f t="shared" si="2"/>
        <v>0</v>
      </c>
      <c r="P26" s="1613" t="str">
        <f>IF(ISBLANK(F26),"",$P$13-SUM($L$17:L26))</f>
        <v/>
      </c>
      <c r="Q26" s="1614" t="str">
        <f>IF(ISBLANK(F26),"",$Q$13-SUM($M$17:M26))</f>
        <v/>
      </c>
      <c r="R26" s="259"/>
      <c r="S26" s="251" t="str">
        <f t="shared" si="4"/>
        <v/>
      </c>
    </row>
    <row r="27" spans="1:19" ht="18.95" customHeight="1">
      <c r="A27" s="1615"/>
      <c r="B27" s="1616"/>
      <c r="C27" s="1617"/>
      <c r="D27" s="1618"/>
      <c r="E27" s="1616"/>
      <c r="F27" s="1617"/>
      <c r="G27" s="1619"/>
      <c r="H27" s="1616"/>
      <c r="I27" s="1617"/>
      <c r="J27" s="1617"/>
      <c r="K27" s="1617"/>
      <c r="L27" s="223">
        <f t="shared" si="3"/>
        <v>0</v>
      </c>
      <c r="M27" s="224">
        <f t="shared" si="0"/>
        <v>0</v>
      </c>
      <c r="N27" s="224">
        <f t="shared" si="1"/>
        <v>0</v>
      </c>
      <c r="O27" s="224">
        <f t="shared" si="2"/>
        <v>0</v>
      </c>
      <c r="P27" s="1613" t="str">
        <f>IF(ISBLANK(F27),"",$P$13-SUM($L$17:L27))</f>
        <v/>
      </c>
      <c r="Q27" s="1614" t="str">
        <f>IF(ISBLANK(F27),"",$Q$13-SUM($M$17:M27))</f>
        <v/>
      </c>
      <c r="R27" s="259"/>
      <c r="S27" s="251" t="str">
        <f t="shared" si="4"/>
        <v/>
      </c>
    </row>
    <row r="28" spans="1:19" ht="18.95" customHeight="1">
      <c r="A28" s="1615"/>
      <c r="B28" s="1616"/>
      <c r="C28" s="1617"/>
      <c r="D28" s="1618"/>
      <c r="E28" s="1616"/>
      <c r="F28" s="1617"/>
      <c r="G28" s="1619"/>
      <c r="H28" s="1616"/>
      <c r="I28" s="1617"/>
      <c r="J28" s="1617"/>
      <c r="K28" s="1617"/>
      <c r="L28" s="223">
        <f t="shared" si="3"/>
        <v>0</v>
      </c>
      <c r="M28" s="224">
        <f t="shared" si="0"/>
        <v>0</v>
      </c>
      <c r="N28" s="224">
        <f t="shared" si="1"/>
        <v>0</v>
      </c>
      <c r="O28" s="224">
        <f t="shared" si="2"/>
        <v>0</v>
      </c>
      <c r="P28" s="1613" t="str">
        <f>IF(ISBLANK(F28),"",$P$13-SUM($L$17:L28))</f>
        <v/>
      </c>
      <c r="Q28" s="1614" t="str">
        <f>IF(ISBLANK(F28),"",$Q$13-SUM($M$17:M28))</f>
        <v/>
      </c>
      <c r="R28" s="259"/>
      <c r="S28" s="251" t="str">
        <f t="shared" si="4"/>
        <v/>
      </c>
    </row>
    <row r="29" spans="1:19" ht="18.95" customHeight="1">
      <c r="A29" s="1615"/>
      <c r="B29" s="1616"/>
      <c r="C29" s="1617"/>
      <c r="D29" s="1618"/>
      <c r="E29" s="1616"/>
      <c r="F29" s="1617"/>
      <c r="G29" s="1619"/>
      <c r="H29" s="1616"/>
      <c r="I29" s="1617"/>
      <c r="J29" s="1617"/>
      <c r="K29" s="1617"/>
      <c r="L29" s="223">
        <f t="shared" si="3"/>
        <v>0</v>
      </c>
      <c r="M29" s="224">
        <f t="shared" si="0"/>
        <v>0</v>
      </c>
      <c r="N29" s="224">
        <f t="shared" si="1"/>
        <v>0</v>
      </c>
      <c r="O29" s="224">
        <f t="shared" si="2"/>
        <v>0</v>
      </c>
      <c r="P29" s="1613" t="str">
        <f>IF(ISBLANK(F29),"",$P$13-SUM($L$17:L29))</f>
        <v/>
      </c>
      <c r="Q29" s="1614" t="str">
        <f>IF(ISBLANK(F29),"",$Q$13-SUM($M$17:M29))</f>
        <v/>
      </c>
      <c r="R29" s="259"/>
      <c r="S29" s="251" t="str">
        <f t="shared" si="4"/>
        <v/>
      </c>
    </row>
    <row r="30" spans="1:19" ht="18.95" customHeight="1">
      <c r="A30" s="1615"/>
      <c r="B30" s="1616"/>
      <c r="C30" s="1617"/>
      <c r="D30" s="1618"/>
      <c r="E30" s="1616"/>
      <c r="F30" s="1617"/>
      <c r="G30" s="1619"/>
      <c r="H30" s="1616"/>
      <c r="I30" s="1617"/>
      <c r="J30" s="1617"/>
      <c r="K30" s="1617"/>
      <c r="L30" s="223">
        <f t="shared" si="3"/>
        <v>0</v>
      </c>
      <c r="M30" s="224">
        <f t="shared" si="0"/>
        <v>0</v>
      </c>
      <c r="N30" s="224">
        <f t="shared" si="1"/>
        <v>0</v>
      </c>
      <c r="O30" s="224">
        <f t="shared" si="2"/>
        <v>0</v>
      </c>
      <c r="P30" s="1613" t="str">
        <f>IF(ISBLANK(F30),"",$P$13-SUM($L$17:L30))</f>
        <v/>
      </c>
      <c r="Q30" s="1614" t="str">
        <f>IF(ISBLANK(F30),"",$Q$13-SUM($M$17:M30))</f>
        <v/>
      </c>
      <c r="R30" s="259"/>
      <c r="S30" s="251" t="str">
        <f t="shared" si="4"/>
        <v/>
      </c>
    </row>
    <row r="31" spans="1:19" ht="18.95" customHeight="1">
      <c r="A31" s="1615"/>
      <c r="B31" s="1616"/>
      <c r="C31" s="1617"/>
      <c r="D31" s="1618"/>
      <c r="E31" s="1616"/>
      <c r="F31" s="1617"/>
      <c r="G31" s="1619"/>
      <c r="H31" s="1616"/>
      <c r="I31" s="1617"/>
      <c r="J31" s="1617"/>
      <c r="K31" s="1617"/>
      <c r="L31" s="223">
        <f t="shared" si="3"/>
        <v>0</v>
      </c>
      <c r="M31" s="224">
        <f t="shared" si="0"/>
        <v>0</v>
      </c>
      <c r="N31" s="224">
        <f t="shared" si="1"/>
        <v>0</v>
      </c>
      <c r="O31" s="224">
        <f t="shared" si="2"/>
        <v>0</v>
      </c>
      <c r="P31" s="1613" t="str">
        <f>IF(ISBLANK(F31),"",$P$13-SUM($L$17:L31))</f>
        <v/>
      </c>
      <c r="Q31" s="1614" t="str">
        <f>IF(ISBLANK(F31),"",$Q$13-SUM($M$17:M31))</f>
        <v/>
      </c>
      <c r="R31" s="259"/>
      <c r="S31" s="251" t="str">
        <f t="shared" si="4"/>
        <v/>
      </c>
    </row>
    <row r="32" spans="1:19" ht="18.95" customHeight="1">
      <c r="A32" s="1615"/>
      <c r="B32" s="1616"/>
      <c r="C32" s="1617"/>
      <c r="D32" s="1618"/>
      <c r="E32" s="1616"/>
      <c r="F32" s="1617"/>
      <c r="G32" s="1619"/>
      <c r="H32" s="1616"/>
      <c r="I32" s="1617"/>
      <c r="J32" s="1617"/>
      <c r="K32" s="1617"/>
      <c r="L32" s="223">
        <f t="shared" si="3"/>
        <v>0</v>
      </c>
      <c r="M32" s="224">
        <f t="shared" si="0"/>
        <v>0</v>
      </c>
      <c r="N32" s="224">
        <f t="shared" si="1"/>
        <v>0</v>
      </c>
      <c r="O32" s="224">
        <f t="shared" si="2"/>
        <v>0</v>
      </c>
      <c r="P32" s="1613" t="str">
        <f>IF(ISBLANK(F32),"",$P$13-SUM($L$17:L32))</f>
        <v/>
      </c>
      <c r="Q32" s="1614" t="str">
        <f>IF(ISBLANK(F32),"",$Q$13-SUM($M$17:M32))</f>
        <v/>
      </c>
      <c r="R32" s="259"/>
      <c r="S32" s="251" t="str">
        <f t="shared" si="4"/>
        <v/>
      </c>
    </row>
    <row r="33" spans="1:19" ht="18.95" customHeight="1">
      <c r="A33" s="1615"/>
      <c r="B33" s="1616"/>
      <c r="C33" s="1617"/>
      <c r="D33" s="1618"/>
      <c r="E33" s="1616"/>
      <c r="F33" s="1617"/>
      <c r="G33" s="1619"/>
      <c r="H33" s="1616"/>
      <c r="I33" s="1617"/>
      <c r="J33" s="1617"/>
      <c r="K33" s="1617"/>
      <c r="L33" s="223">
        <f t="shared" si="3"/>
        <v>0</v>
      </c>
      <c r="M33" s="224">
        <f t="shared" si="0"/>
        <v>0</v>
      </c>
      <c r="N33" s="224">
        <f t="shared" si="1"/>
        <v>0</v>
      </c>
      <c r="O33" s="224">
        <f t="shared" si="2"/>
        <v>0</v>
      </c>
      <c r="P33" s="1613" t="str">
        <f>IF(ISBLANK(F33),"",$P$13-SUM($L$17:L33))</f>
        <v/>
      </c>
      <c r="Q33" s="1614" t="str">
        <f>IF(ISBLANK(F33),"",$Q$13-SUM($M$17:M33))</f>
        <v/>
      </c>
      <c r="R33" s="259"/>
      <c r="S33" s="251" t="str">
        <f t="shared" si="4"/>
        <v/>
      </c>
    </row>
    <row r="34" spans="1:19" ht="20.100000000000001" customHeight="1">
      <c r="A34" s="960"/>
      <c r="H34" s="206"/>
      <c r="I34" s="206"/>
      <c r="J34" s="206"/>
      <c r="K34" s="207" t="s">
        <v>70</v>
      </c>
      <c r="L34" s="208">
        <f>SUM(L17:L33)</f>
        <v>148.5</v>
      </c>
      <c r="M34" s="209">
        <f>SUM(M17:M33)</f>
        <v>0</v>
      </c>
      <c r="N34" s="209">
        <f>SUM(N17:N33)</f>
        <v>0</v>
      </c>
      <c r="O34" s="210">
        <f>SUM(O17:O33)</f>
        <v>0</v>
      </c>
      <c r="P34" s="211">
        <f>P13-L34</f>
        <v>-148.5</v>
      </c>
      <c r="Q34" s="212">
        <f>Q13-M34</f>
        <v>0</v>
      </c>
      <c r="R34" s="260"/>
    </row>
    <row r="35" spans="1:19" ht="20.100000000000001" customHeight="1">
      <c r="A35" s="960"/>
      <c r="E35" s="243"/>
      <c r="H35" s="206"/>
      <c r="I35" s="206"/>
      <c r="J35" s="206"/>
      <c r="K35" s="207"/>
      <c r="L35" s="213"/>
      <c r="M35" s="213"/>
      <c r="N35" s="213"/>
      <c r="O35" s="213"/>
      <c r="P35" s="214"/>
      <c r="Q35" s="214"/>
      <c r="R35" s="257"/>
    </row>
    <row r="36" spans="1:19" ht="21.95" customHeight="1">
      <c r="A36" s="215" t="s">
        <v>71</v>
      </c>
      <c r="E36" s="244" t="str">
        <f>IF(OR(ISBLANK(I$8),ISBLANK(I$9)),"Zeitraum (von-bis) zu oberst eingeben","(Fortsetzung "&amp;DAY(I$8)&amp;"."&amp;MONTH(I$8)&amp;"."&amp;YEAR(I$8)&amp;" - "&amp;DAY(I$9)&amp;"."&amp;MONTH(I$9)&amp;"."&amp;YEAR(I$9)&amp;")")</f>
        <v>Zeitraum (von-bis) zu oberst eingeben</v>
      </c>
      <c r="F36" s="227"/>
      <c r="G36" s="232"/>
      <c r="H36" s="227" t="s">
        <v>30</v>
      </c>
      <c r="I36" s="228" t="str">
        <f>M$8&amp;", "&amp;M$9&amp;", "&amp;M$10</f>
        <v xml:space="preserve">, , </v>
      </c>
      <c r="J36" s="228"/>
      <c r="K36" s="228"/>
      <c r="L36" s="228"/>
      <c r="M36" s="228"/>
      <c r="N36" s="228"/>
      <c r="O36" s="228"/>
      <c r="P36" s="228" t="str">
        <f>"Nr. "&amp;Q$8</f>
        <v xml:space="preserve">Nr. </v>
      </c>
      <c r="Q36" s="226" t="s">
        <v>72</v>
      </c>
      <c r="R36" s="253"/>
    </row>
    <row r="37" spans="1:19" ht="3.95" customHeight="1">
      <c r="A37" s="204"/>
      <c r="H37" s="198"/>
      <c r="I37" s="193"/>
      <c r="P37" s="196"/>
      <c r="Q37" s="196"/>
      <c r="R37" s="258"/>
    </row>
    <row r="38" spans="1:19" ht="30" customHeight="1">
      <c r="A38" s="181" t="s">
        <v>46</v>
      </c>
      <c r="B38" s="182" t="s">
        <v>47</v>
      </c>
      <c r="C38" s="183" t="s">
        <v>48</v>
      </c>
      <c r="D38" s="184" t="s">
        <v>49</v>
      </c>
      <c r="E38" s="182" t="s">
        <v>50</v>
      </c>
      <c r="F38" s="241" t="s">
        <v>51</v>
      </c>
      <c r="G38" s="245" t="s">
        <v>52</v>
      </c>
      <c r="H38" s="222" t="s">
        <v>53</v>
      </c>
      <c r="I38" s="185"/>
      <c r="J38" s="185"/>
      <c r="K38" s="186"/>
      <c r="L38" s="235" t="s">
        <v>55</v>
      </c>
      <c r="M38" s="185"/>
      <c r="N38" s="185"/>
      <c r="O38" s="186"/>
      <c r="P38" s="242" t="s">
        <v>56</v>
      </c>
      <c r="Q38" s="186"/>
      <c r="R38" s="255"/>
    </row>
    <row r="39" spans="1:19" ht="18.75">
      <c r="A39" s="187"/>
      <c r="B39" s="188"/>
      <c r="C39" s="189"/>
      <c r="D39" s="218" t="s">
        <v>57</v>
      </c>
      <c r="E39" s="229" t="s">
        <v>58</v>
      </c>
      <c r="F39" s="221" t="s">
        <v>59</v>
      </c>
      <c r="G39" s="246" t="s">
        <v>60</v>
      </c>
      <c r="H39" s="229" t="s">
        <v>61</v>
      </c>
      <c r="I39" s="221" t="s">
        <v>62</v>
      </c>
      <c r="J39" s="221" t="s">
        <v>63</v>
      </c>
      <c r="K39" s="218" t="s">
        <v>64</v>
      </c>
      <c r="L39" s="191" t="s">
        <v>65</v>
      </c>
      <c r="M39" s="191" t="s">
        <v>66</v>
      </c>
      <c r="N39" s="191" t="s">
        <v>67</v>
      </c>
      <c r="O39" s="190" t="s">
        <v>64</v>
      </c>
      <c r="P39" s="249" t="s">
        <v>68</v>
      </c>
      <c r="Q39" s="250" t="s">
        <v>69</v>
      </c>
      <c r="R39" s="256"/>
    </row>
    <row r="40" spans="1:19" ht="20.100000000000001" customHeight="1">
      <c r="A40" s="961"/>
      <c r="B40" s="216"/>
      <c r="C40" s="216"/>
      <c r="D40" s="216"/>
      <c r="E40" s="216"/>
      <c r="F40" s="216"/>
      <c r="G40" s="233"/>
      <c r="H40" s="216"/>
      <c r="I40" s="216"/>
      <c r="J40" s="216"/>
      <c r="K40" s="217" t="s">
        <v>70</v>
      </c>
      <c r="L40" s="208">
        <f t="shared" ref="L40:Q40" si="5">L34</f>
        <v>148.5</v>
      </c>
      <c r="M40" s="209">
        <f t="shared" si="5"/>
        <v>0</v>
      </c>
      <c r="N40" s="209">
        <f t="shared" si="5"/>
        <v>0</v>
      </c>
      <c r="O40" s="209">
        <f t="shared" si="5"/>
        <v>0</v>
      </c>
      <c r="P40" s="211">
        <f t="shared" si="5"/>
        <v>-148.5</v>
      </c>
      <c r="Q40" s="212">
        <f t="shared" si="5"/>
        <v>0</v>
      </c>
      <c r="R40" s="257"/>
    </row>
    <row r="41" spans="1:19" ht="18.95" customHeight="1">
      <c r="A41" s="1615"/>
      <c r="B41" s="1616"/>
      <c r="C41" s="1617"/>
      <c r="D41" s="1618"/>
      <c r="E41" s="1616"/>
      <c r="F41" s="1617"/>
      <c r="G41" s="1619"/>
      <c r="H41" s="1616"/>
      <c r="I41" s="1617"/>
      <c r="J41" s="1617"/>
      <c r="K41" s="1617"/>
      <c r="L41" s="223">
        <f t="shared" ref="L41:L61" si="6">F41*H41</f>
        <v>0</v>
      </c>
      <c r="M41" s="224">
        <f t="shared" ref="M41:M61" si="7">F41*I41</f>
        <v>0</v>
      </c>
      <c r="N41" s="224">
        <f t="shared" ref="N41:N61" si="8">F41*J41</f>
        <v>0</v>
      </c>
      <c r="O41" s="224">
        <f t="shared" ref="O41:O61" si="9">F41*K41</f>
        <v>0</v>
      </c>
      <c r="P41" s="1613" t="str">
        <f>IF(ISBLANK(F41),"",$P$40-SUM($L$41:L41))</f>
        <v/>
      </c>
      <c r="Q41" s="1614" t="str">
        <f>IF(ISBLANK(F41),"",$Q$40-SUM($M$41:M41))</f>
        <v/>
      </c>
      <c r="R41" s="259"/>
      <c r="S41" s="251" t="str">
        <f t="shared" ref="S41:S56" si="10">IF(AND(ISBLANK(F41)=FALSE,ISBLANK(G41)),"Einheit eintragen (z.B. kg, dt, t, m3, etc.)","")</f>
        <v/>
      </c>
    </row>
    <row r="42" spans="1:19" ht="18.95" customHeight="1">
      <c r="A42" s="1615"/>
      <c r="B42" s="1616"/>
      <c r="C42" s="1617"/>
      <c r="D42" s="1618"/>
      <c r="E42" s="1616"/>
      <c r="F42" s="1617"/>
      <c r="G42" s="1619"/>
      <c r="H42" s="1616"/>
      <c r="I42" s="1617"/>
      <c r="J42" s="1617"/>
      <c r="K42" s="1617"/>
      <c r="L42" s="223">
        <f t="shared" si="6"/>
        <v>0</v>
      </c>
      <c r="M42" s="224">
        <f t="shared" si="7"/>
        <v>0</v>
      </c>
      <c r="N42" s="224">
        <f t="shared" si="8"/>
        <v>0</v>
      </c>
      <c r="O42" s="224">
        <f t="shared" si="9"/>
        <v>0</v>
      </c>
      <c r="P42" s="1613" t="str">
        <f>IF(ISBLANK(F42),"",$P$40-SUM($L$41:L42))</f>
        <v/>
      </c>
      <c r="Q42" s="1614" t="str">
        <f>IF(ISBLANK(F42),"",$Q$40-SUM($M$41:M42))</f>
        <v/>
      </c>
      <c r="R42" s="259"/>
      <c r="S42" s="251" t="str">
        <f t="shared" si="10"/>
        <v/>
      </c>
    </row>
    <row r="43" spans="1:19" ht="18.95" customHeight="1">
      <c r="A43" s="1615"/>
      <c r="B43" s="1616"/>
      <c r="C43" s="1617"/>
      <c r="D43" s="1618"/>
      <c r="E43" s="1616"/>
      <c r="F43" s="1617"/>
      <c r="G43" s="1619"/>
      <c r="H43" s="1616"/>
      <c r="I43" s="1617"/>
      <c r="J43" s="1617"/>
      <c r="K43" s="1617"/>
      <c r="L43" s="223">
        <f t="shared" si="6"/>
        <v>0</v>
      </c>
      <c r="M43" s="224">
        <f t="shared" si="7"/>
        <v>0</v>
      </c>
      <c r="N43" s="224">
        <f t="shared" si="8"/>
        <v>0</v>
      </c>
      <c r="O43" s="224">
        <f t="shared" si="9"/>
        <v>0</v>
      </c>
      <c r="P43" s="1613" t="str">
        <f>IF(ISBLANK(F43),"",$P$40-SUM($L$41:L43))</f>
        <v/>
      </c>
      <c r="Q43" s="1614" t="str">
        <f>IF(ISBLANK(F43),"",$Q$40-SUM($M$41:M43))</f>
        <v/>
      </c>
      <c r="R43" s="259"/>
      <c r="S43" s="251" t="str">
        <f t="shared" si="10"/>
        <v/>
      </c>
    </row>
    <row r="44" spans="1:19" ht="18.95" customHeight="1">
      <c r="A44" s="1615"/>
      <c r="B44" s="1616"/>
      <c r="C44" s="1617"/>
      <c r="D44" s="1618"/>
      <c r="E44" s="1616"/>
      <c r="F44" s="1617"/>
      <c r="G44" s="1619"/>
      <c r="H44" s="1616"/>
      <c r="I44" s="1617"/>
      <c r="J44" s="1617"/>
      <c r="K44" s="1617"/>
      <c r="L44" s="223">
        <f t="shared" si="6"/>
        <v>0</v>
      </c>
      <c r="M44" s="224">
        <f t="shared" si="7"/>
        <v>0</v>
      </c>
      <c r="N44" s="224">
        <f t="shared" si="8"/>
        <v>0</v>
      </c>
      <c r="O44" s="224">
        <f t="shared" si="9"/>
        <v>0</v>
      </c>
      <c r="P44" s="1613" t="str">
        <f>IF(ISBLANK(F44),"",$P$40-SUM($L$41:L44))</f>
        <v/>
      </c>
      <c r="Q44" s="1614" t="str">
        <f>IF(ISBLANK(F44),"",$Q$40-SUM($M$41:M44))</f>
        <v/>
      </c>
      <c r="R44" s="259"/>
      <c r="S44" s="251" t="str">
        <f t="shared" si="10"/>
        <v/>
      </c>
    </row>
    <row r="45" spans="1:19" ht="18.95" customHeight="1">
      <c r="A45" s="1615"/>
      <c r="B45" s="1616"/>
      <c r="C45" s="1617"/>
      <c r="D45" s="1618"/>
      <c r="E45" s="1616"/>
      <c r="F45" s="1617"/>
      <c r="G45" s="1619"/>
      <c r="H45" s="1616"/>
      <c r="I45" s="1617"/>
      <c r="J45" s="1617"/>
      <c r="K45" s="1617"/>
      <c r="L45" s="223">
        <f t="shared" si="6"/>
        <v>0</v>
      </c>
      <c r="M45" s="224">
        <f t="shared" si="7"/>
        <v>0</v>
      </c>
      <c r="N45" s="224">
        <f t="shared" si="8"/>
        <v>0</v>
      </c>
      <c r="O45" s="224">
        <f t="shared" si="9"/>
        <v>0</v>
      </c>
      <c r="P45" s="1613" t="str">
        <f>IF(ISBLANK(F45),"",$P$40-SUM($L$41:L45))</f>
        <v/>
      </c>
      <c r="Q45" s="1614" t="str">
        <f>IF(ISBLANK(F45),"",$Q$40-SUM($M$41:M45))</f>
        <v/>
      </c>
      <c r="R45" s="259"/>
      <c r="S45" s="251" t="str">
        <f t="shared" si="10"/>
        <v/>
      </c>
    </row>
    <row r="46" spans="1:19" ht="18.95" customHeight="1">
      <c r="A46" s="1615"/>
      <c r="B46" s="1616"/>
      <c r="C46" s="1617"/>
      <c r="D46" s="1618"/>
      <c r="E46" s="1616"/>
      <c r="F46" s="1617"/>
      <c r="G46" s="1619"/>
      <c r="H46" s="1616"/>
      <c r="I46" s="1617"/>
      <c r="J46" s="1617"/>
      <c r="K46" s="1617"/>
      <c r="L46" s="223">
        <f t="shared" si="6"/>
        <v>0</v>
      </c>
      <c r="M46" s="224">
        <f t="shared" si="7"/>
        <v>0</v>
      </c>
      <c r="N46" s="224">
        <f t="shared" si="8"/>
        <v>0</v>
      </c>
      <c r="O46" s="224">
        <f t="shared" si="9"/>
        <v>0</v>
      </c>
      <c r="P46" s="1613" t="str">
        <f>IF(ISBLANK(F46),"",$P$40-SUM($L$41:L46))</f>
        <v/>
      </c>
      <c r="Q46" s="1614" t="str">
        <f>IF(ISBLANK(F46),"",$Q$40-SUM($M$41:M46))</f>
        <v/>
      </c>
      <c r="R46" s="259"/>
      <c r="S46" s="251" t="str">
        <f t="shared" si="10"/>
        <v/>
      </c>
    </row>
    <row r="47" spans="1:19" ht="18.95" customHeight="1">
      <c r="A47" s="1615"/>
      <c r="B47" s="1616"/>
      <c r="C47" s="1617"/>
      <c r="D47" s="1618"/>
      <c r="E47" s="1616"/>
      <c r="F47" s="1617"/>
      <c r="G47" s="1619"/>
      <c r="H47" s="1616"/>
      <c r="I47" s="1617"/>
      <c r="J47" s="1617"/>
      <c r="K47" s="1617"/>
      <c r="L47" s="223">
        <f t="shared" si="6"/>
        <v>0</v>
      </c>
      <c r="M47" s="224">
        <f t="shared" si="7"/>
        <v>0</v>
      </c>
      <c r="N47" s="224">
        <f t="shared" si="8"/>
        <v>0</v>
      </c>
      <c r="O47" s="224">
        <f t="shared" si="9"/>
        <v>0</v>
      </c>
      <c r="P47" s="1613" t="str">
        <f>IF(ISBLANK(F47),"",$P$40-SUM($L$41:L47))</f>
        <v/>
      </c>
      <c r="Q47" s="1614" t="str">
        <f>IF(ISBLANK(F47),"",$Q$40-SUM($M$41:M47))</f>
        <v/>
      </c>
      <c r="R47" s="259"/>
      <c r="S47" s="251" t="str">
        <f t="shared" si="10"/>
        <v/>
      </c>
    </row>
    <row r="48" spans="1:19" ht="18.95" customHeight="1">
      <c r="A48" s="1615"/>
      <c r="B48" s="1616"/>
      <c r="C48" s="1617"/>
      <c r="D48" s="1618"/>
      <c r="E48" s="1616"/>
      <c r="F48" s="1617"/>
      <c r="G48" s="1619"/>
      <c r="H48" s="1616"/>
      <c r="I48" s="1617"/>
      <c r="J48" s="1617"/>
      <c r="K48" s="1617"/>
      <c r="L48" s="223">
        <f t="shared" si="6"/>
        <v>0</v>
      </c>
      <c r="M48" s="224">
        <f t="shared" si="7"/>
        <v>0</v>
      </c>
      <c r="N48" s="224">
        <f t="shared" si="8"/>
        <v>0</v>
      </c>
      <c r="O48" s="224">
        <f t="shared" si="9"/>
        <v>0</v>
      </c>
      <c r="P48" s="1613" t="str">
        <f>IF(ISBLANK(F48),"",$P$40-SUM($L$41:L48))</f>
        <v/>
      </c>
      <c r="Q48" s="1614" t="str">
        <f>IF(ISBLANK(F48),"",$Q$40-SUM($M$41:M48))</f>
        <v/>
      </c>
      <c r="R48" s="259"/>
      <c r="S48" s="251" t="str">
        <f t="shared" si="10"/>
        <v/>
      </c>
    </row>
    <row r="49" spans="1:19" ht="18.95" customHeight="1">
      <c r="A49" s="1615"/>
      <c r="B49" s="1616"/>
      <c r="C49" s="1617"/>
      <c r="D49" s="1618"/>
      <c r="E49" s="1616"/>
      <c r="F49" s="1617"/>
      <c r="G49" s="1619"/>
      <c r="H49" s="1616"/>
      <c r="I49" s="1617"/>
      <c r="J49" s="1617"/>
      <c r="K49" s="1617"/>
      <c r="L49" s="223">
        <f t="shared" si="6"/>
        <v>0</v>
      </c>
      <c r="M49" s="224">
        <f t="shared" si="7"/>
        <v>0</v>
      </c>
      <c r="N49" s="224">
        <f t="shared" si="8"/>
        <v>0</v>
      </c>
      <c r="O49" s="224">
        <f t="shared" si="9"/>
        <v>0</v>
      </c>
      <c r="P49" s="1613" t="str">
        <f>IF(ISBLANK(F49),"",$P$40-SUM($L$41:L49))</f>
        <v/>
      </c>
      <c r="Q49" s="1614" t="str">
        <f>IF(ISBLANK(F49),"",$Q$40-SUM($M$41:M49))</f>
        <v/>
      </c>
      <c r="R49" s="259"/>
      <c r="S49" s="251" t="str">
        <f t="shared" si="10"/>
        <v/>
      </c>
    </row>
    <row r="50" spans="1:19" ht="18.95" customHeight="1">
      <c r="A50" s="1615"/>
      <c r="B50" s="1616"/>
      <c r="C50" s="1617"/>
      <c r="D50" s="1618"/>
      <c r="E50" s="1616"/>
      <c r="F50" s="1617"/>
      <c r="G50" s="1619"/>
      <c r="H50" s="1616"/>
      <c r="I50" s="1617"/>
      <c r="J50" s="1617"/>
      <c r="K50" s="1617"/>
      <c r="L50" s="223">
        <f t="shared" si="6"/>
        <v>0</v>
      </c>
      <c r="M50" s="224">
        <f t="shared" si="7"/>
        <v>0</v>
      </c>
      <c r="N50" s="224">
        <f t="shared" si="8"/>
        <v>0</v>
      </c>
      <c r="O50" s="224">
        <f t="shared" si="9"/>
        <v>0</v>
      </c>
      <c r="P50" s="1613" t="str">
        <f>IF(ISBLANK(F50),"",$P$40-SUM($L$41:L50))</f>
        <v/>
      </c>
      <c r="Q50" s="1614" t="str">
        <f>IF(ISBLANK(F50),"",$Q$40-SUM($M$41:M50))</f>
        <v/>
      </c>
      <c r="R50" s="259"/>
      <c r="S50" s="251" t="str">
        <f t="shared" si="10"/>
        <v/>
      </c>
    </row>
    <row r="51" spans="1:19" ht="18.95" customHeight="1">
      <c r="A51" s="1615"/>
      <c r="B51" s="1616"/>
      <c r="C51" s="1617"/>
      <c r="D51" s="1618"/>
      <c r="E51" s="1616"/>
      <c r="F51" s="1617"/>
      <c r="G51" s="1619"/>
      <c r="H51" s="1616"/>
      <c r="I51" s="1617"/>
      <c r="J51" s="1617"/>
      <c r="K51" s="1617"/>
      <c r="L51" s="223">
        <f t="shared" si="6"/>
        <v>0</v>
      </c>
      <c r="M51" s="224">
        <f t="shared" si="7"/>
        <v>0</v>
      </c>
      <c r="N51" s="224">
        <f t="shared" si="8"/>
        <v>0</v>
      </c>
      <c r="O51" s="224">
        <f t="shared" si="9"/>
        <v>0</v>
      </c>
      <c r="P51" s="1613" t="str">
        <f>IF(ISBLANK(F51),"",$P$40-SUM($L$41:L51))</f>
        <v/>
      </c>
      <c r="Q51" s="1614" t="str">
        <f>IF(ISBLANK(F51),"",$Q$40-SUM($M$41:M51))</f>
        <v/>
      </c>
      <c r="R51" s="259"/>
      <c r="S51" s="251" t="str">
        <f t="shared" si="10"/>
        <v/>
      </c>
    </row>
    <row r="52" spans="1:19" ht="18.95" customHeight="1">
      <c r="A52" s="1615"/>
      <c r="B52" s="1616"/>
      <c r="C52" s="1617"/>
      <c r="D52" s="1618"/>
      <c r="E52" s="1616"/>
      <c r="F52" s="1617"/>
      <c r="G52" s="1619"/>
      <c r="H52" s="1616"/>
      <c r="I52" s="1617"/>
      <c r="J52" s="1617"/>
      <c r="K52" s="1617"/>
      <c r="L52" s="223">
        <f t="shared" si="6"/>
        <v>0</v>
      </c>
      <c r="M52" s="224">
        <f t="shared" si="7"/>
        <v>0</v>
      </c>
      <c r="N52" s="224">
        <f t="shared" si="8"/>
        <v>0</v>
      </c>
      <c r="O52" s="224">
        <f t="shared" si="9"/>
        <v>0</v>
      </c>
      <c r="P52" s="1613" t="str">
        <f>IF(ISBLANK(F52),"",$P$40-SUM($L$41:L52))</f>
        <v/>
      </c>
      <c r="Q52" s="1614" t="str">
        <f>IF(ISBLANK(F52),"",$Q$40-SUM($M$41:M52))</f>
        <v/>
      </c>
      <c r="R52" s="259"/>
      <c r="S52" s="251" t="str">
        <f t="shared" si="10"/>
        <v/>
      </c>
    </row>
    <row r="53" spans="1:19" ht="18.95" customHeight="1">
      <c r="A53" s="1615"/>
      <c r="B53" s="1616"/>
      <c r="C53" s="1617"/>
      <c r="D53" s="1618"/>
      <c r="E53" s="1616"/>
      <c r="F53" s="1617"/>
      <c r="G53" s="1619"/>
      <c r="H53" s="1616"/>
      <c r="I53" s="1617"/>
      <c r="J53" s="1617"/>
      <c r="K53" s="1617"/>
      <c r="L53" s="223">
        <f t="shared" si="6"/>
        <v>0</v>
      </c>
      <c r="M53" s="224">
        <f t="shared" si="7"/>
        <v>0</v>
      </c>
      <c r="N53" s="224">
        <f t="shared" si="8"/>
        <v>0</v>
      </c>
      <c r="O53" s="224">
        <f t="shared" si="9"/>
        <v>0</v>
      </c>
      <c r="P53" s="1613" t="str">
        <f>IF(ISBLANK(F53),"",$P$40-SUM($L$41:L53))</f>
        <v/>
      </c>
      <c r="Q53" s="1614" t="str">
        <f>IF(ISBLANK(F53),"",$Q$40-SUM($M$41:M53))</f>
        <v/>
      </c>
      <c r="R53" s="259"/>
      <c r="S53" s="251" t="str">
        <f t="shared" si="10"/>
        <v/>
      </c>
    </row>
    <row r="54" spans="1:19" ht="18.95" customHeight="1">
      <c r="A54" s="1615"/>
      <c r="B54" s="1616"/>
      <c r="C54" s="1617"/>
      <c r="D54" s="1618"/>
      <c r="E54" s="1616"/>
      <c r="F54" s="1617"/>
      <c r="G54" s="1619"/>
      <c r="H54" s="1616"/>
      <c r="I54" s="1617"/>
      <c r="J54" s="1617"/>
      <c r="K54" s="1617"/>
      <c r="L54" s="223">
        <f t="shared" si="6"/>
        <v>0</v>
      </c>
      <c r="M54" s="224">
        <f t="shared" si="7"/>
        <v>0</v>
      </c>
      <c r="N54" s="224">
        <f t="shared" si="8"/>
        <v>0</v>
      </c>
      <c r="O54" s="224">
        <f t="shared" si="9"/>
        <v>0</v>
      </c>
      <c r="P54" s="1613" t="str">
        <f>IF(ISBLANK(F54),"",$P$40-SUM($L$41:L54))</f>
        <v/>
      </c>
      <c r="Q54" s="1614" t="str">
        <f>IF(ISBLANK(F54),"",$Q$40-SUM($M$41:M54))</f>
        <v/>
      </c>
      <c r="R54" s="259"/>
      <c r="S54" s="251" t="str">
        <f t="shared" si="10"/>
        <v/>
      </c>
    </row>
    <row r="55" spans="1:19" ht="18.95" customHeight="1">
      <c r="A55" s="1615"/>
      <c r="B55" s="1616"/>
      <c r="C55" s="1617"/>
      <c r="D55" s="1618"/>
      <c r="E55" s="1616"/>
      <c r="F55" s="1617"/>
      <c r="G55" s="1619"/>
      <c r="H55" s="1616"/>
      <c r="I55" s="1617"/>
      <c r="J55" s="1617"/>
      <c r="K55" s="1617"/>
      <c r="L55" s="223">
        <f t="shared" si="6"/>
        <v>0</v>
      </c>
      <c r="M55" s="224">
        <f t="shared" si="7"/>
        <v>0</v>
      </c>
      <c r="N55" s="224">
        <f t="shared" si="8"/>
        <v>0</v>
      </c>
      <c r="O55" s="224">
        <f t="shared" si="9"/>
        <v>0</v>
      </c>
      <c r="P55" s="1613" t="str">
        <f>IF(ISBLANK(F55),"",$P$40-SUM($L$41:L55))</f>
        <v/>
      </c>
      <c r="Q55" s="1614" t="str">
        <f>IF(ISBLANK(F55),"",$Q$40-SUM($M$41:M55))</f>
        <v/>
      </c>
      <c r="R55" s="259"/>
      <c r="S55" s="251" t="str">
        <f t="shared" si="10"/>
        <v/>
      </c>
    </row>
    <row r="56" spans="1:19" ht="18.95" customHeight="1">
      <c r="A56" s="1615"/>
      <c r="B56" s="1616"/>
      <c r="C56" s="1617"/>
      <c r="D56" s="1618"/>
      <c r="E56" s="1616"/>
      <c r="F56" s="1617"/>
      <c r="G56" s="1619"/>
      <c r="H56" s="1616"/>
      <c r="I56" s="1617"/>
      <c r="J56" s="1617"/>
      <c r="K56" s="1617"/>
      <c r="L56" s="223">
        <f t="shared" si="6"/>
        <v>0</v>
      </c>
      <c r="M56" s="224">
        <f t="shared" si="7"/>
        <v>0</v>
      </c>
      <c r="N56" s="224">
        <f t="shared" si="8"/>
        <v>0</v>
      </c>
      <c r="O56" s="224">
        <f t="shared" si="9"/>
        <v>0</v>
      </c>
      <c r="P56" s="1613" t="str">
        <f>IF(ISBLANK(F56),"",$P$40-SUM($L$41:L56))</f>
        <v/>
      </c>
      <c r="Q56" s="1614" t="str">
        <f>IF(ISBLANK(F56),"",$Q$40-SUM($M$41:M56))</f>
        <v/>
      </c>
      <c r="R56" s="259"/>
      <c r="S56" s="251" t="str">
        <f t="shared" si="10"/>
        <v/>
      </c>
    </row>
    <row r="57" spans="1:19" ht="18.95" customHeight="1">
      <c r="A57" s="1615"/>
      <c r="B57" s="1616"/>
      <c r="C57" s="1617"/>
      <c r="D57" s="1618"/>
      <c r="E57" s="1616"/>
      <c r="F57" s="1617"/>
      <c r="G57" s="1619"/>
      <c r="H57" s="1616"/>
      <c r="I57" s="1617"/>
      <c r="J57" s="1617"/>
      <c r="K57" s="1617"/>
      <c r="L57" s="223">
        <f t="shared" si="6"/>
        <v>0</v>
      </c>
      <c r="M57" s="224">
        <f t="shared" si="7"/>
        <v>0</v>
      </c>
      <c r="N57" s="224">
        <f t="shared" si="8"/>
        <v>0</v>
      </c>
      <c r="O57" s="224">
        <f t="shared" si="9"/>
        <v>0</v>
      </c>
      <c r="P57" s="1613" t="str">
        <f>IF(ISBLANK(F57),"",$P$40-SUM($L$41:L57))</f>
        <v/>
      </c>
      <c r="Q57" s="1614" t="str">
        <f>IF(ISBLANK(F57),"",$Q$40-SUM($M$41:M57))</f>
        <v/>
      </c>
      <c r="R57" s="259"/>
      <c r="S57" s="251" t="str">
        <f>IF(AND(ISBLANK(F57)=FALSE,ISBLANK(G57)),"Einheit eintragen (z.B. kg, dt, t, m3, etc.)","")</f>
        <v/>
      </c>
    </row>
    <row r="58" spans="1:19" ht="18.95" customHeight="1">
      <c r="A58" s="1615"/>
      <c r="B58" s="1616"/>
      <c r="C58" s="1617"/>
      <c r="D58" s="1618"/>
      <c r="E58" s="1616"/>
      <c r="F58" s="1617"/>
      <c r="G58" s="1619"/>
      <c r="H58" s="1616"/>
      <c r="I58" s="1617"/>
      <c r="J58" s="1617"/>
      <c r="K58" s="1617"/>
      <c r="L58" s="223">
        <f t="shared" si="6"/>
        <v>0</v>
      </c>
      <c r="M58" s="224">
        <f t="shared" si="7"/>
        <v>0</v>
      </c>
      <c r="N58" s="224">
        <f t="shared" si="8"/>
        <v>0</v>
      </c>
      <c r="O58" s="224">
        <f t="shared" si="9"/>
        <v>0</v>
      </c>
      <c r="P58" s="1613" t="str">
        <f>IF(ISBLANK(F58),"",$P$40-SUM($L$41:L58))</f>
        <v/>
      </c>
      <c r="Q58" s="1614" t="str">
        <f>IF(ISBLANK(F58),"",$Q$40-SUM($M$41:M58))</f>
        <v/>
      </c>
      <c r="R58" s="259"/>
      <c r="S58" s="251" t="str">
        <f>IF(AND(ISBLANK(F58)=FALSE,ISBLANK(G58)),"Einheit eintragen (z.B. kg, dt, t, m3, etc.)","")</f>
        <v/>
      </c>
    </row>
    <row r="59" spans="1:19" ht="18.95" customHeight="1">
      <c r="A59" s="1615"/>
      <c r="B59" s="1616"/>
      <c r="C59" s="1617"/>
      <c r="D59" s="1618"/>
      <c r="E59" s="1616"/>
      <c r="F59" s="1617"/>
      <c r="G59" s="1619"/>
      <c r="H59" s="1616"/>
      <c r="I59" s="1617"/>
      <c r="J59" s="1617"/>
      <c r="K59" s="1617"/>
      <c r="L59" s="223">
        <f t="shared" si="6"/>
        <v>0</v>
      </c>
      <c r="M59" s="224">
        <f t="shared" si="7"/>
        <v>0</v>
      </c>
      <c r="N59" s="224">
        <f t="shared" si="8"/>
        <v>0</v>
      </c>
      <c r="O59" s="224">
        <f t="shared" si="9"/>
        <v>0</v>
      </c>
      <c r="P59" s="1613" t="str">
        <f>IF(ISBLANK(F59),"",$P$40-SUM($L$41:L59))</f>
        <v/>
      </c>
      <c r="Q59" s="1614" t="str">
        <f>IF(ISBLANK(F59),"",$Q$40-SUM($M$41:M59))</f>
        <v/>
      </c>
      <c r="R59" s="259"/>
      <c r="S59" s="251" t="str">
        <f>IF(AND(ISBLANK(F59)=FALSE,ISBLANK(G59)),"Einheit eintragen (z.B. kg, dt, t, m3, etc.)","")</f>
        <v/>
      </c>
    </row>
    <row r="60" spans="1:19" ht="18.95" customHeight="1">
      <c r="A60" s="1615"/>
      <c r="B60" s="1616"/>
      <c r="C60" s="1617"/>
      <c r="D60" s="1618"/>
      <c r="E60" s="1616"/>
      <c r="F60" s="1617"/>
      <c r="G60" s="1619"/>
      <c r="H60" s="1616"/>
      <c r="I60" s="1617"/>
      <c r="J60" s="1617"/>
      <c r="K60" s="1617"/>
      <c r="L60" s="223">
        <f t="shared" si="6"/>
        <v>0</v>
      </c>
      <c r="M60" s="224">
        <f t="shared" si="7"/>
        <v>0</v>
      </c>
      <c r="N60" s="224">
        <f t="shared" si="8"/>
        <v>0</v>
      </c>
      <c r="O60" s="224">
        <f t="shared" si="9"/>
        <v>0</v>
      </c>
      <c r="P60" s="1613" t="str">
        <f>IF(ISBLANK(F60),"",$P$40-SUM($L$41:L60))</f>
        <v/>
      </c>
      <c r="Q60" s="1614" t="str">
        <f>IF(ISBLANK(F60),"",$Q$40-SUM($M$41:M60))</f>
        <v/>
      </c>
      <c r="R60" s="259"/>
      <c r="S60" s="251" t="str">
        <f>IF(AND(ISBLANK(F60)=FALSE,ISBLANK(G60)),"Einheit eintragen (z.B. kg, dt, t, m3, etc.)","")</f>
        <v/>
      </c>
    </row>
    <row r="61" spans="1:19" ht="18.95" customHeight="1">
      <c r="A61" s="1615"/>
      <c r="B61" s="1616"/>
      <c r="C61" s="1617"/>
      <c r="D61" s="1618"/>
      <c r="E61" s="1616"/>
      <c r="F61" s="1617"/>
      <c r="G61" s="1619"/>
      <c r="H61" s="1616"/>
      <c r="I61" s="1617"/>
      <c r="J61" s="1617"/>
      <c r="K61" s="1617"/>
      <c r="L61" s="223">
        <f t="shared" si="6"/>
        <v>0</v>
      </c>
      <c r="M61" s="224">
        <f t="shared" si="7"/>
        <v>0</v>
      </c>
      <c r="N61" s="224">
        <f t="shared" si="8"/>
        <v>0</v>
      </c>
      <c r="O61" s="224">
        <f t="shared" si="9"/>
        <v>0</v>
      </c>
      <c r="P61" s="1613" t="str">
        <f>IF(ISBLANK(F61),"",$P$40-SUM($L$41:L61))</f>
        <v/>
      </c>
      <c r="Q61" s="1614" t="str">
        <f>IF(ISBLANK(F61),"",$Q$40-SUM($M$41:M61))</f>
        <v/>
      </c>
      <c r="R61" s="259"/>
      <c r="S61" s="251" t="str">
        <f>IF(AND(ISBLANK(F61)=FALSE,ISBLANK(G61)),"Einheit eintragen (z.B. kg, dt, t, m3, etc.)","")</f>
        <v/>
      </c>
    </row>
    <row r="62" spans="1:19" ht="18" customHeight="1">
      <c r="A62" s="962"/>
      <c r="J62" s="206"/>
      <c r="K62" s="207" t="s">
        <v>70</v>
      </c>
      <c r="L62" s="208">
        <f>SUM(L40:L61)</f>
        <v>148.5</v>
      </c>
      <c r="M62" s="209">
        <f>SUM(M40:M61)</f>
        <v>0</v>
      </c>
      <c r="N62" s="209">
        <f>SUM(N40:N61)</f>
        <v>0</v>
      </c>
      <c r="O62" s="210">
        <f>SUM(O40:O61)</f>
        <v>0</v>
      </c>
      <c r="P62" s="211">
        <f>$P$13-L62</f>
        <v>-148.5</v>
      </c>
      <c r="Q62" s="212">
        <f>$Q$13-M62</f>
        <v>0</v>
      </c>
      <c r="R62" s="260"/>
    </row>
    <row r="63" spans="1:19">
      <c r="A63" s="960"/>
      <c r="H63" s="206"/>
      <c r="I63" s="206"/>
      <c r="J63" s="206"/>
      <c r="K63" s="207"/>
      <c r="L63" s="213"/>
      <c r="M63" s="213"/>
      <c r="N63" s="213"/>
      <c r="O63" s="213"/>
      <c r="P63" s="214"/>
      <c r="Q63" s="214"/>
      <c r="R63" s="257"/>
    </row>
    <row r="64" spans="1:19" ht="21.95" customHeight="1">
      <c r="A64" s="215" t="s">
        <v>71</v>
      </c>
      <c r="E64" s="244" t="str">
        <f>IF(OR(ISBLANK(I$8),ISBLANK(I$9)),"Zeitraum (von-bis) zu oberst eingeben","(Fortsetzung "&amp;DAY(I$8)&amp;"."&amp;MONTH(I$8)&amp;"."&amp;YEAR(I$8)&amp;" - "&amp;DAY(I$9)&amp;"."&amp;MONTH(I$9)&amp;"."&amp;YEAR(I$9)&amp;")")</f>
        <v>Zeitraum (von-bis) zu oberst eingeben</v>
      </c>
      <c r="F64" s="195"/>
      <c r="G64" s="234"/>
      <c r="H64" s="227" t="s">
        <v>30</v>
      </c>
      <c r="I64" s="228" t="str">
        <f>M$8&amp;", "&amp;M$9&amp;", "&amp;M$10</f>
        <v xml:space="preserve">, , </v>
      </c>
      <c r="J64" s="228"/>
      <c r="K64" s="228"/>
      <c r="L64" s="228"/>
      <c r="M64" s="228"/>
      <c r="N64" s="228"/>
      <c r="O64" s="228"/>
      <c r="P64" s="228" t="str">
        <f>"Nr. "&amp;Q$8</f>
        <v xml:space="preserve">Nr. </v>
      </c>
      <c r="Q64" s="226" t="s">
        <v>73</v>
      </c>
      <c r="R64" s="253"/>
    </row>
    <row r="65" spans="1:19" ht="3.95" customHeight="1">
      <c r="A65" s="204"/>
      <c r="H65" s="198"/>
      <c r="I65" s="193"/>
      <c r="P65" s="196"/>
      <c r="Q65" s="196"/>
      <c r="R65" s="258"/>
    </row>
    <row r="66" spans="1:19" ht="30" customHeight="1">
      <c r="A66" s="181" t="s">
        <v>46</v>
      </c>
      <c r="B66" s="182" t="s">
        <v>47</v>
      </c>
      <c r="C66" s="183" t="s">
        <v>48</v>
      </c>
      <c r="D66" s="184" t="s">
        <v>49</v>
      </c>
      <c r="E66" s="182" t="s">
        <v>50</v>
      </c>
      <c r="F66" s="241" t="s">
        <v>51</v>
      </c>
      <c r="G66" s="245" t="s">
        <v>52</v>
      </c>
      <c r="H66" s="222" t="s">
        <v>53</v>
      </c>
      <c r="I66" s="185"/>
      <c r="J66" s="185"/>
      <c r="K66" s="186"/>
      <c r="L66" s="235" t="s">
        <v>55</v>
      </c>
      <c r="M66" s="185"/>
      <c r="N66" s="185"/>
      <c r="O66" s="186"/>
      <c r="P66" s="242" t="s">
        <v>56</v>
      </c>
      <c r="Q66" s="186"/>
      <c r="R66" s="255"/>
    </row>
    <row r="67" spans="1:19" ht="20.100000000000001" customHeight="1">
      <c r="A67" s="187"/>
      <c r="B67" s="188"/>
      <c r="C67" s="189"/>
      <c r="D67" s="218" t="s">
        <v>57</v>
      </c>
      <c r="E67" s="229" t="s">
        <v>58</v>
      </c>
      <c r="F67" s="221" t="s">
        <v>59</v>
      </c>
      <c r="G67" s="246" t="s">
        <v>60</v>
      </c>
      <c r="H67" s="229" t="s">
        <v>61</v>
      </c>
      <c r="I67" s="221" t="s">
        <v>62</v>
      </c>
      <c r="J67" s="221" t="s">
        <v>63</v>
      </c>
      <c r="K67" s="218" t="s">
        <v>64</v>
      </c>
      <c r="L67" s="191" t="s">
        <v>65</v>
      </c>
      <c r="M67" s="191" t="s">
        <v>66</v>
      </c>
      <c r="N67" s="191" t="s">
        <v>67</v>
      </c>
      <c r="O67" s="190" t="s">
        <v>64</v>
      </c>
      <c r="P67" s="249" t="s">
        <v>68</v>
      </c>
      <c r="Q67" s="250" t="s">
        <v>69</v>
      </c>
      <c r="R67" s="256"/>
    </row>
    <row r="68" spans="1:19" ht="20.100000000000001" customHeight="1">
      <c r="A68" s="961"/>
      <c r="B68" s="216"/>
      <c r="C68" s="216"/>
      <c r="D68" s="216"/>
      <c r="E68" s="216"/>
      <c r="F68" s="216"/>
      <c r="G68" s="233"/>
      <c r="H68" s="216"/>
      <c r="I68" s="216"/>
      <c r="J68" s="216"/>
      <c r="K68" s="217" t="s">
        <v>70</v>
      </c>
      <c r="L68" s="208">
        <f t="shared" ref="L68:Q68" si="11">L62</f>
        <v>148.5</v>
      </c>
      <c r="M68" s="209">
        <f t="shared" si="11"/>
        <v>0</v>
      </c>
      <c r="N68" s="209">
        <f t="shared" si="11"/>
        <v>0</v>
      </c>
      <c r="O68" s="209">
        <f t="shared" si="11"/>
        <v>0</v>
      </c>
      <c r="P68" s="211">
        <f t="shared" si="11"/>
        <v>-148.5</v>
      </c>
      <c r="Q68" s="212">
        <f t="shared" si="11"/>
        <v>0</v>
      </c>
      <c r="R68" s="260"/>
    </row>
    <row r="69" spans="1:19" ht="18.95" customHeight="1">
      <c r="A69" s="1615"/>
      <c r="B69" s="1616"/>
      <c r="C69" s="1617"/>
      <c r="D69" s="1618"/>
      <c r="E69" s="1616"/>
      <c r="F69" s="1617"/>
      <c r="G69" s="1619"/>
      <c r="H69" s="1616"/>
      <c r="I69" s="1617"/>
      <c r="J69" s="1617"/>
      <c r="K69" s="1617"/>
      <c r="L69" s="223">
        <f t="shared" ref="L69:L89" si="12">F69*H69</f>
        <v>0</v>
      </c>
      <c r="M69" s="224">
        <f t="shared" ref="M69:M89" si="13">F69*I69</f>
        <v>0</v>
      </c>
      <c r="N69" s="224">
        <f t="shared" ref="N69:N89" si="14">F69*J69</f>
        <v>0</v>
      </c>
      <c r="O69" s="224">
        <f t="shared" ref="O69:O89" si="15">F69*K69</f>
        <v>0</v>
      </c>
      <c r="P69" s="1613" t="str">
        <f>IF(ISBLANK(F69),"",$P$68-SUM($L$69:L69))</f>
        <v/>
      </c>
      <c r="Q69" s="1614" t="str">
        <f>IF(ISBLANK(F69),"",$Q$68-SUM($M$69:M69))</f>
        <v/>
      </c>
      <c r="R69" s="259"/>
      <c r="S69" s="251" t="str">
        <f t="shared" ref="S69:S84" si="16">IF(AND(ISBLANK(F69)=FALSE,ISBLANK(G69)),"Einheit eintragen (z.B. kg, dt, t, m3, etc.)","")</f>
        <v/>
      </c>
    </row>
    <row r="70" spans="1:19" ht="18.95" customHeight="1">
      <c r="A70" s="1615"/>
      <c r="B70" s="1616"/>
      <c r="C70" s="1617"/>
      <c r="D70" s="1618"/>
      <c r="E70" s="1616"/>
      <c r="F70" s="1617"/>
      <c r="G70" s="1619"/>
      <c r="H70" s="1616"/>
      <c r="I70" s="1617"/>
      <c r="J70" s="1617"/>
      <c r="K70" s="1617"/>
      <c r="L70" s="223">
        <f t="shared" si="12"/>
        <v>0</v>
      </c>
      <c r="M70" s="224">
        <f t="shared" si="13"/>
        <v>0</v>
      </c>
      <c r="N70" s="224">
        <f t="shared" si="14"/>
        <v>0</v>
      </c>
      <c r="O70" s="224">
        <f t="shared" si="15"/>
        <v>0</v>
      </c>
      <c r="P70" s="1613" t="str">
        <f>IF(ISBLANK(F70),"",$P$68-SUM($L$69:L70))</f>
        <v/>
      </c>
      <c r="Q70" s="1614" t="str">
        <f>IF(ISBLANK(F70),"",$Q$68-SUM($M$69:M70))</f>
        <v/>
      </c>
      <c r="R70" s="259"/>
      <c r="S70" s="251" t="str">
        <f t="shared" si="16"/>
        <v/>
      </c>
    </row>
    <row r="71" spans="1:19" ht="18.95" customHeight="1">
      <c r="A71" s="1615"/>
      <c r="B71" s="1616"/>
      <c r="C71" s="1617"/>
      <c r="D71" s="1618"/>
      <c r="E71" s="1616"/>
      <c r="F71" s="1617"/>
      <c r="G71" s="1619"/>
      <c r="H71" s="1616"/>
      <c r="I71" s="1617"/>
      <c r="J71" s="1617"/>
      <c r="K71" s="1617"/>
      <c r="L71" s="223">
        <f t="shared" si="12"/>
        <v>0</v>
      </c>
      <c r="M71" s="224">
        <f t="shared" si="13"/>
        <v>0</v>
      </c>
      <c r="N71" s="224">
        <f t="shared" si="14"/>
        <v>0</v>
      </c>
      <c r="O71" s="224">
        <f t="shared" si="15"/>
        <v>0</v>
      </c>
      <c r="P71" s="1613" t="str">
        <f>IF(ISBLANK(F71),"",$P$68-SUM($L$69:L71))</f>
        <v/>
      </c>
      <c r="Q71" s="1614" t="str">
        <f>IF(ISBLANK(F71),"",$Q$68-SUM($M$69:M71))</f>
        <v/>
      </c>
      <c r="R71" s="259"/>
      <c r="S71" s="251" t="str">
        <f t="shared" si="16"/>
        <v/>
      </c>
    </row>
    <row r="72" spans="1:19" ht="18.95" customHeight="1">
      <c r="A72" s="1615"/>
      <c r="B72" s="1616"/>
      <c r="C72" s="1617"/>
      <c r="D72" s="1618"/>
      <c r="E72" s="1616"/>
      <c r="F72" s="1617"/>
      <c r="G72" s="1619"/>
      <c r="H72" s="1616"/>
      <c r="I72" s="1617"/>
      <c r="J72" s="1617"/>
      <c r="K72" s="1617"/>
      <c r="L72" s="223">
        <f t="shared" si="12"/>
        <v>0</v>
      </c>
      <c r="M72" s="224">
        <f t="shared" si="13"/>
        <v>0</v>
      </c>
      <c r="N72" s="224">
        <f t="shared" si="14"/>
        <v>0</v>
      </c>
      <c r="O72" s="224">
        <f t="shared" si="15"/>
        <v>0</v>
      </c>
      <c r="P72" s="1613" t="str">
        <f>IF(ISBLANK(F72),"",$P$68-SUM($L$69:L72))</f>
        <v/>
      </c>
      <c r="Q72" s="1614" t="str">
        <f>IF(ISBLANK(F72),"",$Q$68-SUM($M$69:M72))</f>
        <v/>
      </c>
      <c r="R72" s="259"/>
      <c r="S72" s="251" t="str">
        <f t="shared" si="16"/>
        <v/>
      </c>
    </row>
    <row r="73" spans="1:19" ht="18.95" customHeight="1">
      <c r="A73" s="1615"/>
      <c r="B73" s="1616"/>
      <c r="C73" s="1617"/>
      <c r="D73" s="1618"/>
      <c r="E73" s="1616"/>
      <c r="F73" s="1617"/>
      <c r="G73" s="1619"/>
      <c r="H73" s="1616"/>
      <c r="I73" s="1617"/>
      <c r="J73" s="1617"/>
      <c r="K73" s="1617"/>
      <c r="L73" s="223">
        <f t="shared" si="12"/>
        <v>0</v>
      </c>
      <c r="M73" s="224">
        <f t="shared" si="13"/>
        <v>0</v>
      </c>
      <c r="N73" s="224">
        <f t="shared" si="14"/>
        <v>0</v>
      </c>
      <c r="O73" s="224">
        <f t="shared" si="15"/>
        <v>0</v>
      </c>
      <c r="P73" s="1613" t="str">
        <f>IF(ISBLANK(F73),"",$P$68-SUM($L$69:L73))</f>
        <v/>
      </c>
      <c r="Q73" s="1614" t="str">
        <f>IF(ISBLANK(F73),"",$Q$68-SUM($M$69:M73))</f>
        <v/>
      </c>
      <c r="R73" s="259"/>
      <c r="S73" s="251" t="str">
        <f t="shared" si="16"/>
        <v/>
      </c>
    </row>
    <row r="74" spans="1:19" ht="18.95" customHeight="1">
      <c r="A74" s="1615"/>
      <c r="B74" s="1616"/>
      <c r="C74" s="1617"/>
      <c r="D74" s="1618"/>
      <c r="E74" s="1616"/>
      <c r="F74" s="1617"/>
      <c r="G74" s="1619"/>
      <c r="H74" s="1616"/>
      <c r="I74" s="1617"/>
      <c r="J74" s="1617"/>
      <c r="K74" s="1617"/>
      <c r="L74" s="223">
        <f t="shared" si="12"/>
        <v>0</v>
      </c>
      <c r="M74" s="224">
        <f t="shared" si="13"/>
        <v>0</v>
      </c>
      <c r="N74" s="224">
        <f t="shared" si="14"/>
        <v>0</v>
      </c>
      <c r="O74" s="224">
        <f t="shared" si="15"/>
        <v>0</v>
      </c>
      <c r="P74" s="1613" t="str">
        <f>IF(ISBLANK(F74),"",$P$68-SUM($L$69:L74))</f>
        <v/>
      </c>
      <c r="Q74" s="1614" t="str">
        <f>IF(ISBLANK(F74),"",$Q$68-SUM($M$69:M74))</f>
        <v/>
      </c>
      <c r="R74" s="259"/>
      <c r="S74" s="251" t="str">
        <f t="shared" si="16"/>
        <v/>
      </c>
    </row>
    <row r="75" spans="1:19" ht="18.95" customHeight="1">
      <c r="A75" s="1615"/>
      <c r="B75" s="1616"/>
      <c r="C75" s="1617"/>
      <c r="D75" s="1618"/>
      <c r="E75" s="1616"/>
      <c r="F75" s="1617"/>
      <c r="G75" s="1619"/>
      <c r="H75" s="1616"/>
      <c r="I75" s="1617"/>
      <c r="J75" s="1617"/>
      <c r="K75" s="1617"/>
      <c r="L75" s="223">
        <f t="shared" si="12"/>
        <v>0</v>
      </c>
      <c r="M75" s="224">
        <f t="shared" si="13"/>
        <v>0</v>
      </c>
      <c r="N75" s="224">
        <f t="shared" si="14"/>
        <v>0</v>
      </c>
      <c r="O75" s="224">
        <f t="shared" si="15"/>
        <v>0</v>
      </c>
      <c r="P75" s="1613" t="str">
        <f>IF(ISBLANK(F75),"",$P$68-SUM($L$69:L75))</f>
        <v/>
      </c>
      <c r="Q75" s="1614" t="str">
        <f>IF(ISBLANK(F75),"",$Q$68-SUM($M$69:M75))</f>
        <v/>
      </c>
      <c r="R75" s="259"/>
      <c r="S75" s="251" t="str">
        <f t="shared" si="16"/>
        <v/>
      </c>
    </row>
    <row r="76" spans="1:19" ht="18.95" customHeight="1">
      <c r="A76" s="1615"/>
      <c r="B76" s="1616"/>
      <c r="C76" s="1617"/>
      <c r="D76" s="1618"/>
      <c r="E76" s="1616"/>
      <c r="F76" s="1617"/>
      <c r="G76" s="1619"/>
      <c r="H76" s="1616"/>
      <c r="I76" s="1617"/>
      <c r="J76" s="1617"/>
      <c r="K76" s="1617"/>
      <c r="L76" s="223">
        <f t="shared" si="12"/>
        <v>0</v>
      </c>
      <c r="M76" s="224">
        <f t="shared" si="13"/>
        <v>0</v>
      </c>
      <c r="N76" s="224">
        <f t="shared" si="14"/>
        <v>0</v>
      </c>
      <c r="O76" s="224">
        <f t="shared" si="15"/>
        <v>0</v>
      </c>
      <c r="P76" s="1613" t="str">
        <f>IF(ISBLANK(F76),"",$P$68-SUM($L$69:L76))</f>
        <v/>
      </c>
      <c r="Q76" s="1614" t="str">
        <f>IF(ISBLANK(F76),"",$Q$68-SUM($M$69:M76))</f>
        <v/>
      </c>
      <c r="R76" s="259"/>
      <c r="S76" s="251" t="str">
        <f t="shared" si="16"/>
        <v/>
      </c>
    </row>
    <row r="77" spans="1:19" ht="18.95" customHeight="1">
      <c r="A77" s="1615"/>
      <c r="B77" s="1616"/>
      <c r="C77" s="1617"/>
      <c r="D77" s="1618"/>
      <c r="E77" s="1616"/>
      <c r="F77" s="1617"/>
      <c r="G77" s="1619"/>
      <c r="H77" s="1616"/>
      <c r="I77" s="1617"/>
      <c r="J77" s="1617"/>
      <c r="K77" s="1617"/>
      <c r="L77" s="223">
        <f t="shared" si="12"/>
        <v>0</v>
      </c>
      <c r="M77" s="224">
        <f t="shared" si="13"/>
        <v>0</v>
      </c>
      <c r="N77" s="224">
        <f t="shared" si="14"/>
        <v>0</v>
      </c>
      <c r="O77" s="224">
        <f t="shared" si="15"/>
        <v>0</v>
      </c>
      <c r="P77" s="1613" t="str">
        <f>IF(ISBLANK(F77),"",$P$68-SUM($L$69:L77))</f>
        <v/>
      </c>
      <c r="Q77" s="1614" t="str">
        <f>IF(ISBLANK(F77),"",$Q$68-SUM($M$69:M77))</f>
        <v/>
      </c>
      <c r="R77" s="259"/>
      <c r="S77" s="251" t="str">
        <f t="shared" si="16"/>
        <v/>
      </c>
    </row>
    <row r="78" spans="1:19" ht="18.95" customHeight="1">
      <c r="A78" s="1615"/>
      <c r="B78" s="1616"/>
      <c r="C78" s="1617"/>
      <c r="D78" s="1618"/>
      <c r="E78" s="1616"/>
      <c r="F78" s="1617"/>
      <c r="G78" s="1619"/>
      <c r="H78" s="1616"/>
      <c r="I78" s="1617"/>
      <c r="J78" s="1617"/>
      <c r="K78" s="1617"/>
      <c r="L78" s="223">
        <f t="shared" si="12"/>
        <v>0</v>
      </c>
      <c r="M78" s="224">
        <f t="shared" si="13"/>
        <v>0</v>
      </c>
      <c r="N78" s="224">
        <f t="shared" si="14"/>
        <v>0</v>
      </c>
      <c r="O78" s="224">
        <f t="shared" si="15"/>
        <v>0</v>
      </c>
      <c r="P78" s="1613" t="str">
        <f>IF(ISBLANK(F78),"",$P$68-SUM($L$69:L78))</f>
        <v/>
      </c>
      <c r="Q78" s="1614" t="str">
        <f>IF(ISBLANK(F78),"",$Q$68-SUM($M$69:M78))</f>
        <v/>
      </c>
      <c r="R78" s="259"/>
      <c r="S78" s="251" t="str">
        <f t="shared" si="16"/>
        <v/>
      </c>
    </row>
    <row r="79" spans="1:19" ht="18.95" customHeight="1">
      <c r="A79" s="1615"/>
      <c r="B79" s="1616"/>
      <c r="C79" s="1617"/>
      <c r="D79" s="1618"/>
      <c r="E79" s="1616"/>
      <c r="F79" s="1617"/>
      <c r="G79" s="1619"/>
      <c r="H79" s="1616"/>
      <c r="I79" s="1617"/>
      <c r="J79" s="1617"/>
      <c r="K79" s="1617"/>
      <c r="L79" s="223">
        <f t="shared" si="12"/>
        <v>0</v>
      </c>
      <c r="M79" s="224">
        <f t="shared" si="13"/>
        <v>0</v>
      </c>
      <c r="N79" s="224">
        <f t="shared" si="14"/>
        <v>0</v>
      </c>
      <c r="O79" s="224">
        <f t="shared" si="15"/>
        <v>0</v>
      </c>
      <c r="P79" s="1613" t="str">
        <f>IF(ISBLANK(F79),"",$P$68-SUM($L$69:L79))</f>
        <v/>
      </c>
      <c r="Q79" s="1614" t="str">
        <f>IF(ISBLANK(F79),"",$Q$68-SUM($M$69:M79))</f>
        <v/>
      </c>
      <c r="R79" s="259"/>
      <c r="S79" s="251" t="str">
        <f t="shared" si="16"/>
        <v/>
      </c>
    </row>
    <row r="80" spans="1:19" ht="18.95" customHeight="1">
      <c r="A80" s="1615"/>
      <c r="B80" s="1616"/>
      <c r="C80" s="1617"/>
      <c r="D80" s="1618"/>
      <c r="E80" s="1616"/>
      <c r="F80" s="1617"/>
      <c r="G80" s="1619"/>
      <c r="H80" s="1616"/>
      <c r="I80" s="1617"/>
      <c r="J80" s="1617"/>
      <c r="K80" s="1617"/>
      <c r="L80" s="223">
        <f t="shared" si="12"/>
        <v>0</v>
      </c>
      <c r="M80" s="224">
        <f t="shared" si="13"/>
        <v>0</v>
      </c>
      <c r="N80" s="224">
        <f t="shared" si="14"/>
        <v>0</v>
      </c>
      <c r="O80" s="224">
        <f t="shared" si="15"/>
        <v>0</v>
      </c>
      <c r="P80" s="1613" t="str">
        <f>IF(ISBLANK(F80),"",$P$68-SUM($L$69:L80))</f>
        <v/>
      </c>
      <c r="Q80" s="1614" t="str">
        <f>IF(ISBLANK(F80),"",$Q$68-SUM($M$69:M80))</f>
        <v/>
      </c>
      <c r="R80" s="259"/>
      <c r="S80" s="251" t="str">
        <f t="shared" si="16"/>
        <v/>
      </c>
    </row>
    <row r="81" spans="1:19" ht="18.95" customHeight="1">
      <c r="A81" s="1615"/>
      <c r="B81" s="1616"/>
      <c r="C81" s="1617"/>
      <c r="D81" s="1618"/>
      <c r="E81" s="1616"/>
      <c r="F81" s="1617"/>
      <c r="G81" s="1619"/>
      <c r="H81" s="1616"/>
      <c r="I81" s="1617"/>
      <c r="J81" s="1617"/>
      <c r="K81" s="1617"/>
      <c r="L81" s="223">
        <f t="shared" si="12"/>
        <v>0</v>
      </c>
      <c r="M81" s="224">
        <f t="shared" si="13"/>
        <v>0</v>
      </c>
      <c r="N81" s="224">
        <f t="shared" si="14"/>
        <v>0</v>
      </c>
      <c r="O81" s="224">
        <f t="shared" si="15"/>
        <v>0</v>
      </c>
      <c r="P81" s="1613" t="str">
        <f>IF(ISBLANK(F81),"",$P$68-SUM($L$69:L81))</f>
        <v/>
      </c>
      <c r="Q81" s="1614" t="str">
        <f>IF(ISBLANK(F81),"",$Q$68-SUM($M$69:M81))</f>
        <v/>
      </c>
      <c r="R81" s="259"/>
      <c r="S81" s="251" t="str">
        <f t="shared" si="16"/>
        <v/>
      </c>
    </row>
    <row r="82" spans="1:19" ht="18.95" customHeight="1">
      <c r="A82" s="1615"/>
      <c r="B82" s="1616"/>
      <c r="C82" s="1617"/>
      <c r="D82" s="1618"/>
      <c r="E82" s="1616"/>
      <c r="F82" s="1617"/>
      <c r="G82" s="1619"/>
      <c r="H82" s="1616"/>
      <c r="I82" s="1617"/>
      <c r="J82" s="1617"/>
      <c r="K82" s="1617"/>
      <c r="L82" s="223">
        <f t="shared" si="12"/>
        <v>0</v>
      </c>
      <c r="M82" s="224">
        <f t="shared" si="13"/>
        <v>0</v>
      </c>
      <c r="N82" s="224">
        <f t="shared" si="14"/>
        <v>0</v>
      </c>
      <c r="O82" s="224">
        <f t="shared" si="15"/>
        <v>0</v>
      </c>
      <c r="P82" s="1613" t="str">
        <f>IF(ISBLANK(F82),"",$P$68-SUM($L$69:L82))</f>
        <v/>
      </c>
      <c r="Q82" s="1614" t="str">
        <f>IF(ISBLANK(F82),"",$Q$68-SUM($M$69:M82))</f>
        <v/>
      </c>
      <c r="R82" s="259"/>
      <c r="S82" s="251" t="str">
        <f t="shared" si="16"/>
        <v/>
      </c>
    </row>
    <row r="83" spans="1:19" ht="18.95" customHeight="1">
      <c r="A83" s="1615"/>
      <c r="B83" s="1616"/>
      <c r="C83" s="1617"/>
      <c r="D83" s="1618"/>
      <c r="E83" s="1616"/>
      <c r="F83" s="1617"/>
      <c r="G83" s="1619"/>
      <c r="H83" s="1616"/>
      <c r="I83" s="1617"/>
      <c r="J83" s="1617"/>
      <c r="K83" s="1617"/>
      <c r="L83" s="223">
        <f t="shared" si="12"/>
        <v>0</v>
      </c>
      <c r="M83" s="224">
        <f t="shared" si="13"/>
        <v>0</v>
      </c>
      <c r="N83" s="224">
        <f t="shared" si="14"/>
        <v>0</v>
      </c>
      <c r="O83" s="224">
        <f t="shared" si="15"/>
        <v>0</v>
      </c>
      <c r="P83" s="1613" t="str">
        <f>IF(ISBLANK(F83),"",$P$68-SUM($L$69:L83))</f>
        <v/>
      </c>
      <c r="Q83" s="1614" t="str">
        <f>IF(ISBLANK(F83),"",$Q$68-SUM($M$69:M83))</f>
        <v/>
      </c>
      <c r="R83" s="259"/>
      <c r="S83" s="251" t="str">
        <f t="shared" si="16"/>
        <v/>
      </c>
    </row>
    <row r="84" spans="1:19" ht="18.95" customHeight="1">
      <c r="A84" s="1615"/>
      <c r="B84" s="1616"/>
      <c r="C84" s="1617"/>
      <c r="D84" s="1618"/>
      <c r="E84" s="1616"/>
      <c r="F84" s="1617"/>
      <c r="G84" s="1619"/>
      <c r="H84" s="1616"/>
      <c r="I84" s="1617"/>
      <c r="J84" s="1617"/>
      <c r="K84" s="1617"/>
      <c r="L84" s="223">
        <f t="shared" si="12"/>
        <v>0</v>
      </c>
      <c r="M84" s="224">
        <f t="shared" si="13"/>
        <v>0</v>
      </c>
      <c r="N84" s="224">
        <f t="shared" si="14"/>
        <v>0</v>
      </c>
      <c r="O84" s="224">
        <f t="shared" si="15"/>
        <v>0</v>
      </c>
      <c r="P84" s="1613" t="str">
        <f>IF(ISBLANK(F84),"",$P$68-SUM($L$69:L84))</f>
        <v/>
      </c>
      <c r="Q84" s="1614" t="str">
        <f>IF(ISBLANK(F84),"",$Q$68-SUM($M$69:M84))</f>
        <v/>
      </c>
      <c r="R84" s="259"/>
      <c r="S84" s="251" t="str">
        <f t="shared" si="16"/>
        <v/>
      </c>
    </row>
    <row r="85" spans="1:19" ht="18.95" customHeight="1">
      <c r="A85" s="1615"/>
      <c r="B85" s="1616"/>
      <c r="C85" s="1617"/>
      <c r="D85" s="1618"/>
      <c r="E85" s="1616"/>
      <c r="F85" s="1617"/>
      <c r="G85" s="1619"/>
      <c r="H85" s="1616"/>
      <c r="I85" s="1617"/>
      <c r="J85" s="1617"/>
      <c r="K85" s="1617"/>
      <c r="L85" s="223">
        <f t="shared" si="12"/>
        <v>0</v>
      </c>
      <c r="M85" s="224">
        <f t="shared" si="13"/>
        <v>0</v>
      </c>
      <c r="N85" s="224">
        <f t="shared" si="14"/>
        <v>0</v>
      </c>
      <c r="O85" s="224">
        <f t="shared" si="15"/>
        <v>0</v>
      </c>
      <c r="P85" s="1613" t="str">
        <f>IF(ISBLANK(F85),"",$P$68-SUM($L$69:L85))</f>
        <v/>
      </c>
      <c r="Q85" s="1614" t="str">
        <f>IF(ISBLANK(F85),"",$Q$68-SUM($M$69:M85))</f>
        <v/>
      </c>
      <c r="R85" s="259"/>
      <c r="S85" s="251" t="str">
        <f>IF(AND(ISBLANK(F85)=FALSE,ISBLANK(G85)),"Einheit eintragen (z.B. kg, dt, t, m3, etc.)","")</f>
        <v/>
      </c>
    </row>
    <row r="86" spans="1:19" ht="18.95" customHeight="1">
      <c r="A86" s="1615"/>
      <c r="B86" s="1616"/>
      <c r="C86" s="1617"/>
      <c r="D86" s="1618"/>
      <c r="E86" s="1616"/>
      <c r="F86" s="1617"/>
      <c r="G86" s="1619"/>
      <c r="H86" s="1616"/>
      <c r="I86" s="1617"/>
      <c r="J86" s="1617"/>
      <c r="K86" s="1617"/>
      <c r="L86" s="223">
        <f t="shared" si="12"/>
        <v>0</v>
      </c>
      <c r="M86" s="224">
        <f t="shared" si="13"/>
        <v>0</v>
      </c>
      <c r="N86" s="224">
        <f t="shared" si="14"/>
        <v>0</v>
      </c>
      <c r="O86" s="224">
        <f t="shared" si="15"/>
        <v>0</v>
      </c>
      <c r="P86" s="1613" t="str">
        <f>IF(ISBLANK(F86),"",$P$68-SUM($L$69:L86))</f>
        <v/>
      </c>
      <c r="Q86" s="1614" t="str">
        <f>IF(ISBLANK(F86),"",$Q$68-SUM($M$69:M86))</f>
        <v/>
      </c>
      <c r="R86" s="259"/>
      <c r="S86" s="251" t="str">
        <f>IF(AND(ISBLANK(F86)=FALSE,ISBLANK(G86)),"Einheit eintragen (z.B. kg, dt, t, m3, etc.)","")</f>
        <v/>
      </c>
    </row>
    <row r="87" spans="1:19" ht="18.95" customHeight="1">
      <c r="A87" s="1615"/>
      <c r="B87" s="1616"/>
      <c r="C87" s="1617"/>
      <c r="D87" s="1618"/>
      <c r="E87" s="1616"/>
      <c r="F87" s="1617"/>
      <c r="G87" s="1619"/>
      <c r="H87" s="1616"/>
      <c r="I87" s="1617"/>
      <c r="J87" s="1617"/>
      <c r="K87" s="1617"/>
      <c r="L87" s="223">
        <f t="shared" si="12"/>
        <v>0</v>
      </c>
      <c r="M87" s="224">
        <f t="shared" si="13"/>
        <v>0</v>
      </c>
      <c r="N87" s="224">
        <f t="shared" si="14"/>
        <v>0</v>
      </c>
      <c r="O87" s="224">
        <f t="shared" si="15"/>
        <v>0</v>
      </c>
      <c r="P87" s="1613" t="str">
        <f>IF(ISBLANK(F87),"",$P$68-SUM($L$69:L87))</f>
        <v/>
      </c>
      <c r="Q87" s="1614" t="str">
        <f>IF(ISBLANK(F87),"",$Q$68-SUM($M$69:M87))</f>
        <v/>
      </c>
      <c r="R87" s="259"/>
      <c r="S87" s="251" t="str">
        <f>IF(AND(ISBLANK(F87)=FALSE,ISBLANK(G87)),"Einheit eintragen (z.B. kg, dt, t, m3, etc.)","")</f>
        <v/>
      </c>
    </row>
    <row r="88" spans="1:19" ht="18.95" customHeight="1">
      <c r="A88" s="1615"/>
      <c r="B88" s="1616"/>
      <c r="C88" s="1617"/>
      <c r="D88" s="1618"/>
      <c r="E88" s="1616"/>
      <c r="F88" s="1617"/>
      <c r="G88" s="1619"/>
      <c r="H88" s="1616"/>
      <c r="I88" s="1617"/>
      <c r="J88" s="1617"/>
      <c r="K88" s="1617"/>
      <c r="L88" s="223">
        <f t="shared" si="12"/>
        <v>0</v>
      </c>
      <c r="M88" s="224">
        <f t="shared" si="13"/>
        <v>0</v>
      </c>
      <c r="N88" s="224">
        <f t="shared" si="14"/>
        <v>0</v>
      </c>
      <c r="O88" s="224">
        <f t="shared" si="15"/>
        <v>0</v>
      </c>
      <c r="P88" s="1613" t="str">
        <f>IF(ISBLANK(F88),"",$P$68-SUM($L$69:L88))</f>
        <v/>
      </c>
      <c r="Q88" s="1614" t="str">
        <f>IF(ISBLANK(F88),"",$Q$68-SUM($M$69:M88))</f>
        <v/>
      </c>
      <c r="R88" s="259"/>
      <c r="S88" s="251" t="str">
        <f>IF(AND(ISBLANK(F88)=FALSE,ISBLANK(G88)),"Einheit eintragen (z.B. kg, dt, t, m3, etc.)","")</f>
        <v/>
      </c>
    </row>
    <row r="89" spans="1:19" ht="18.95" customHeight="1">
      <c r="A89" s="1615"/>
      <c r="B89" s="1616"/>
      <c r="C89" s="1617"/>
      <c r="D89" s="1618"/>
      <c r="E89" s="1616"/>
      <c r="F89" s="1617"/>
      <c r="G89" s="1619"/>
      <c r="H89" s="1616"/>
      <c r="I89" s="1617"/>
      <c r="J89" s="1617"/>
      <c r="K89" s="1617"/>
      <c r="L89" s="223">
        <f t="shared" si="12"/>
        <v>0</v>
      </c>
      <c r="M89" s="224">
        <f t="shared" si="13"/>
        <v>0</v>
      </c>
      <c r="N89" s="224">
        <f t="shared" si="14"/>
        <v>0</v>
      </c>
      <c r="O89" s="224">
        <f t="shared" si="15"/>
        <v>0</v>
      </c>
      <c r="P89" s="1613" t="str">
        <f>IF(ISBLANK(F89),"",$P$68-SUM($L$69:L89))</f>
        <v/>
      </c>
      <c r="Q89" s="1614" t="str">
        <f>IF(ISBLANK(F89),"",$Q$68-SUM($M$69:M89))</f>
        <v/>
      </c>
      <c r="R89" s="259"/>
      <c r="S89" s="251" t="str">
        <f>IF(AND(ISBLANK(F89)=FALSE,ISBLANK(G89)),"Einheit eintragen (z.B. kg, dt, t, m3, etc.)","")</f>
        <v/>
      </c>
    </row>
    <row r="90" spans="1:19" ht="20.100000000000001" customHeight="1">
      <c r="A90" s="962"/>
      <c r="D90" s="219"/>
      <c r="J90" s="206"/>
      <c r="K90" s="207" t="s">
        <v>70</v>
      </c>
      <c r="L90" s="208">
        <f>SUM(L68:L89)</f>
        <v>148.5</v>
      </c>
      <c r="M90" s="209">
        <f>SUM(M68:M89)</f>
        <v>0</v>
      </c>
      <c r="N90" s="209">
        <f>SUM(N68:N89)</f>
        <v>0</v>
      </c>
      <c r="O90" s="210">
        <f>SUM(O68:O89)</f>
        <v>0</v>
      </c>
      <c r="P90" s="211">
        <f>$P$13-L90</f>
        <v>-148.5</v>
      </c>
      <c r="Q90" s="212">
        <f>$Q$13-M90</f>
        <v>0</v>
      </c>
      <c r="R90" s="260"/>
    </row>
    <row r="91" spans="1:19" ht="20.100000000000001" customHeight="1">
      <c r="A91" s="960"/>
      <c r="D91" s="219"/>
      <c r="H91" s="206"/>
      <c r="I91" s="206"/>
      <c r="J91" s="206"/>
      <c r="K91" s="207"/>
      <c r="L91" s="213"/>
      <c r="M91" s="213"/>
      <c r="N91" s="213"/>
      <c r="O91" s="213"/>
      <c r="P91" s="214"/>
      <c r="Q91" s="214"/>
      <c r="R91" s="257"/>
    </row>
    <row r="92" spans="1:19" ht="21.95" customHeight="1">
      <c r="A92" s="215" t="s">
        <v>71</v>
      </c>
      <c r="E92" s="244" t="str">
        <f>IF(OR(ISBLANK(I$8),ISBLANK(I$9)),"Zeitraum (von-bis) zu oberst eingeben","(Fortsetzung "&amp;DAY(I$8)&amp;"."&amp;MONTH(I$8)&amp;"."&amp;YEAR(I$8)&amp;" - "&amp;DAY(I$9)&amp;"."&amp;MONTH(I$9)&amp;"."&amp;YEAR(I$9)&amp;")")</f>
        <v>Zeitraum (von-bis) zu oberst eingeben</v>
      </c>
      <c r="F92" s="195"/>
      <c r="G92" s="234"/>
      <c r="H92" s="227" t="s">
        <v>30</v>
      </c>
      <c r="I92" s="228" t="str">
        <f>M$8&amp;", "&amp;M$9&amp;", "&amp;M$10</f>
        <v xml:space="preserve">, , </v>
      </c>
      <c r="J92" s="228"/>
      <c r="K92" s="228"/>
      <c r="L92" s="228"/>
      <c r="M92" s="228"/>
      <c r="N92" s="228"/>
      <c r="O92" s="228"/>
      <c r="P92" s="228" t="str">
        <f>"Nr. "&amp;Q$8</f>
        <v xml:space="preserve">Nr. </v>
      </c>
      <c r="Q92" s="226" t="s">
        <v>74</v>
      </c>
      <c r="R92" s="253"/>
    </row>
    <row r="93" spans="1:19" ht="3.95" customHeight="1">
      <c r="A93" s="204"/>
      <c r="D93" s="219"/>
      <c r="H93" s="198"/>
      <c r="I93" s="193"/>
      <c r="P93" s="196"/>
      <c r="Q93" s="196"/>
      <c r="R93" s="258"/>
    </row>
    <row r="94" spans="1:19" ht="30" customHeight="1">
      <c r="A94" s="181" t="s">
        <v>46</v>
      </c>
      <c r="B94" s="182" t="s">
        <v>47</v>
      </c>
      <c r="C94" s="183" t="s">
        <v>48</v>
      </c>
      <c r="D94" s="184" t="s">
        <v>49</v>
      </c>
      <c r="E94" s="182" t="s">
        <v>50</v>
      </c>
      <c r="F94" s="241" t="s">
        <v>51</v>
      </c>
      <c r="G94" s="245" t="s">
        <v>52</v>
      </c>
      <c r="H94" s="222" t="s">
        <v>53</v>
      </c>
      <c r="I94" s="185"/>
      <c r="J94" s="185"/>
      <c r="K94" s="186"/>
      <c r="L94" s="235" t="s">
        <v>55</v>
      </c>
      <c r="M94" s="185"/>
      <c r="N94" s="185"/>
      <c r="O94" s="186"/>
      <c r="P94" s="242" t="s">
        <v>56</v>
      </c>
      <c r="Q94" s="186"/>
      <c r="R94" s="255"/>
    </row>
    <row r="95" spans="1:19" ht="20.100000000000001" customHeight="1">
      <c r="A95" s="187"/>
      <c r="B95" s="188"/>
      <c r="C95" s="189"/>
      <c r="D95" s="218" t="s">
        <v>57</v>
      </c>
      <c r="E95" s="229" t="s">
        <v>58</v>
      </c>
      <c r="F95" s="221" t="s">
        <v>59</v>
      </c>
      <c r="G95" s="246" t="s">
        <v>60</v>
      </c>
      <c r="H95" s="229" t="s">
        <v>61</v>
      </c>
      <c r="I95" s="221" t="s">
        <v>62</v>
      </c>
      <c r="J95" s="221" t="s">
        <v>63</v>
      </c>
      <c r="K95" s="218" t="s">
        <v>64</v>
      </c>
      <c r="L95" s="191" t="s">
        <v>65</v>
      </c>
      <c r="M95" s="191" t="s">
        <v>66</v>
      </c>
      <c r="N95" s="191" t="s">
        <v>67</v>
      </c>
      <c r="O95" s="190" t="s">
        <v>64</v>
      </c>
      <c r="P95" s="249" t="s">
        <v>68</v>
      </c>
      <c r="Q95" s="250" t="s">
        <v>69</v>
      </c>
      <c r="R95" s="256"/>
    </row>
    <row r="96" spans="1:19" ht="20.100000000000001" customHeight="1">
      <c r="A96" s="961"/>
      <c r="B96" s="216"/>
      <c r="C96" s="216"/>
      <c r="D96" s="220"/>
      <c r="E96" s="216"/>
      <c r="F96" s="216"/>
      <c r="G96" s="233"/>
      <c r="H96" s="216"/>
      <c r="I96" s="216"/>
      <c r="J96" s="216"/>
      <c r="K96" s="217" t="s">
        <v>70</v>
      </c>
      <c r="L96" s="208">
        <f t="shared" ref="L96:Q96" si="17">L90</f>
        <v>148.5</v>
      </c>
      <c r="M96" s="209">
        <f t="shared" si="17"/>
        <v>0</v>
      </c>
      <c r="N96" s="209">
        <f t="shared" si="17"/>
        <v>0</v>
      </c>
      <c r="O96" s="209">
        <f t="shared" si="17"/>
        <v>0</v>
      </c>
      <c r="P96" s="211">
        <f t="shared" si="17"/>
        <v>-148.5</v>
      </c>
      <c r="Q96" s="212">
        <f t="shared" si="17"/>
        <v>0</v>
      </c>
      <c r="R96" s="260"/>
    </row>
    <row r="97" spans="1:19" ht="18.95" customHeight="1">
      <c r="A97" s="1615"/>
      <c r="B97" s="1616"/>
      <c r="C97" s="1617"/>
      <c r="D97" s="1618"/>
      <c r="E97" s="1616"/>
      <c r="F97" s="1617"/>
      <c r="G97" s="1619"/>
      <c r="H97" s="1616"/>
      <c r="I97" s="1617"/>
      <c r="J97" s="1617"/>
      <c r="K97" s="1617"/>
      <c r="L97" s="223">
        <f t="shared" ref="L97:L117" si="18">F97*H97</f>
        <v>0</v>
      </c>
      <c r="M97" s="224">
        <f t="shared" ref="M97:M117" si="19">F97*I97</f>
        <v>0</v>
      </c>
      <c r="N97" s="224">
        <f t="shared" ref="N97:N117" si="20">F97*J97</f>
        <v>0</v>
      </c>
      <c r="O97" s="224">
        <f t="shared" ref="O97:O117" si="21">F97*K97</f>
        <v>0</v>
      </c>
      <c r="P97" s="1613" t="str">
        <f>IF(ISBLANK(F97),"",$P$96-SUM($L$97:L97))</f>
        <v/>
      </c>
      <c r="Q97" s="1614" t="str">
        <f>IF(ISBLANK(F97),"",$Q$96-SUM($M$97:M97))</f>
        <v/>
      </c>
      <c r="R97" s="259"/>
      <c r="S97" s="251" t="str">
        <f t="shared" ref="S97:S112" si="22">IF(AND(ISBLANK(F97)=FALSE,ISBLANK(G97)),"Einheit eintragen (z.B. kg, dt, t, m3, etc.)","")</f>
        <v/>
      </c>
    </row>
    <row r="98" spans="1:19" ht="18.95" customHeight="1">
      <c r="A98" s="1615"/>
      <c r="B98" s="1616"/>
      <c r="C98" s="1617"/>
      <c r="D98" s="1618"/>
      <c r="E98" s="1616"/>
      <c r="F98" s="1617"/>
      <c r="G98" s="1619"/>
      <c r="H98" s="1616"/>
      <c r="I98" s="1617"/>
      <c r="J98" s="1617"/>
      <c r="K98" s="1617"/>
      <c r="L98" s="223">
        <f t="shared" si="18"/>
        <v>0</v>
      </c>
      <c r="M98" s="224">
        <f t="shared" si="19"/>
        <v>0</v>
      </c>
      <c r="N98" s="224">
        <f t="shared" si="20"/>
        <v>0</v>
      </c>
      <c r="O98" s="224">
        <f t="shared" si="21"/>
        <v>0</v>
      </c>
      <c r="P98" s="1613" t="str">
        <f>IF(ISBLANK(F98),"",$P$96-SUM($L$97:L98))</f>
        <v/>
      </c>
      <c r="Q98" s="1614" t="str">
        <f>IF(ISBLANK(F98),"",$Q$96-SUM($M$97:M98))</f>
        <v/>
      </c>
      <c r="R98" s="259"/>
      <c r="S98" s="251" t="str">
        <f t="shared" si="22"/>
        <v/>
      </c>
    </row>
    <row r="99" spans="1:19" ht="18.95" customHeight="1">
      <c r="A99" s="1615"/>
      <c r="B99" s="1616"/>
      <c r="C99" s="1617"/>
      <c r="D99" s="1618"/>
      <c r="E99" s="1616"/>
      <c r="F99" s="1617"/>
      <c r="G99" s="1619"/>
      <c r="H99" s="1616"/>
      <c r="I99" s="1617"/>
      <c r="J99" s="1617"/>
      <c r="K99" s="1617"/>
      <c r="L99" s="223">
        <f t="shared" si="18"/>
        <v>0</v>
      </c>
      <c r="M99" s="224">
        <f t="shared" si="19"/>
        <v>0</v>
      </c>
      <c r="N99" s="224">
        <f t="shared" si="20"/>
        <v>0</v>
      </c>
      <c r="O99" s="224">
        <f t="shared" si="21"/>
        <v>0</v>
      </c>
      <c r="P99" s="1613" t="str">
        <f>IF(ISBLANK(F99),"",$P$96-SUM($L$97:L99))</f>
        <v/>
      </c>
      <c r="Q99" s="1614" t="str">
        <f>IF(ISBLANK(F99),"",$Q$96-SUM($M$97:M99))</f>
        <v/>
      </c>
      <c r="R99" s="259"/>
      <c r="S99" s="251" t="str">
        <f t="shared" si="22"/>
        <v/>
      </c>
    </row>
    <row r="100" spans="1:19" ht="18.95" customHeight="1">
      <c r="A100" s="1615"/>
      <c r="B100" s="1616"/>
      <c r="C100" s="1617"/>
      <c r="D100" s="1618"/>
      <c r="E100" s="1616"/>
      <c r="F100" s="1617"/>
      <c r="G100" s="1619"/>
      <c r="H100" s="1616"/>
      <c r="I100" s="1617"/>
      <c r="J100" s="1617"/>
      <c r="K100" s="1617"/>
      <c r="L100" s="223">
        <f t="shared" si="18"/>
        <v>0</v>
      </c>
      <c r="M100" s="224">
        <f t="shared" si="19"/>
        <v>0</v>
      </c>
      <c r="N100" s="224">
        <f t="shared" si="20"/>
        <v>0</v>
      </c>
      <c r="O100" s="224">
        <f t="shared" si="21"/>
        <v>0</v>
      </c>
      <c r="P100" s="1613" t="str">
        <f>IF(ISBLANK(F100),"",$P$96-SUM($L$97:L100))</f>
        <v/>
      </c>
      <c r="Q100" s="1614" t="str">
        <f>IF(ISBLANK(F100),"",$Q$96-SUM($M$97:M100))</f>
        <v/>
      </c>
      <c r="R100" s="259"/>
      <c r="S100" s="251" t="str">
        <f t="shared" si="22"/>
        <v/>
      </c>
    </row>
    <row r="101" spans="1:19" ht="18.95" customHeight="1">
      <c r="A101" s="1615"/>
      <c r="B101" s="1616"/>
      <c r="C101" s="1617"/>
      <c r="D101" s="1618"/>
      <c r="E101" s="1616"/>
      <c r="F101" s="1617"/>
      <c r="G101" s="1619"/>
      <c r="H101" s="1616"/>
      <c r="I101" s="1617"/>
      <c r="J101" s="1617"/>
      <c r="K101" s="1617"/>
      <c r="L101" s="223">
        <f t="shared" si="18"/>
        <v>0</v>
      </c>
      <c r="M101" s="224">
        <f t="shared" si="19"/>
        <v>0</v>
      </c>
      <c r="N101" s="224">
        <f t="shared" si="20"/>
        <v>0</v>
      </c>
      <c r="O101" s="224">
        <f t="shared" si="21"/>
        <v>0</v>
      </c>
      <c r="P101" s="1613" t="str">
        <f>IF(ISBLANK(F101),"",$P$96-SUM($L$97:L101))</f>
        <v/>
      </c>
      <c r="Q101" s="1614" t="str">
        <f>IF(ISBLANK(F101),"",$Q$96-SUM($M$97:M101))</f>
        <v/>
      </c>
      <c r="R101" s="259"/>
      <c r="S101" s="251" t="str">
        <f t="shared" si="22"/>
        <v/>
      </c>
    </row>
    <row r="102" spans="1:19" ht="18.95" customHeight="1">
      <c r="A102" s="1615"/>
      <c r="B102" s="1616"/>
      <c r="C102" s="1617"/>
      <c r="D102" s="1618"/>
      <c r="E102" s="1616"/>
      <c r="F102" s="1617"/>
      <c r="G102" s="1619"/>
      <c r="H102" s="1616"/>
      <c r="I102" s="1617"/>
      <c r="J102" s="1617"/>
      <c r="K102" s="1617"/>
      <c r="L102" s="223">
        <f t="shared" si="18"/>
        <v>0</v>
      </c>
      <c r="M102" s="224">
        <f t="shared" si="19"/>
        <v>0</v>
      </c>
      <c r="N102" s="224">
        <f t="shared" si="20"/>
        <v>0</v>
      </c>
      <c r="O102" s="224">
        <f t="shared" si="21"/>
        <v>0</v>
      </c>
      <c r="P102" s="1613" t="str">
        <f>IF(ISBLANK(F102),"",$P$96-SUM($L$97:L102))</f>
        <v/>
      </c>
      <c r="Q102" s="1614" t="str">
        <f>IF(ISBLANK(F102),"",$Q$96-SUM($M$97:M102))</f>
        <v/>
      </c>
      <c r="R102" s="259"/>
      <c r="S102" s="251" t="str">
        <f t="shared" si="22"/>
        <v/>
      </c>
    </row>
    <row r="103" spans="1:19" ht="18.95" customHeight="1">
      <c r="A103" s="1615"/>
      <c r="B103" s="1616"/>
      <c r="C103" s="1617"/>
      <c r="D103" s="1618"/>
      <c r="E103" s="1616"/>
      <c r="F103" s="1617"/>
      <c r="G103" s="1619"/>
      <c r="H103" s="1616"/>
      <c r="I103" s="1617"/>
      <c r="J103" s="1617"/>
      <c r="K103" s="1617"/>
      <c r="L103" s="223">
        <f t="shared" si="18"/>
        <v>0</v>
      </c>
      <c r="M103" s="224">
        <f t="shared" si="19"/>
        <v>0</v>
      </c>
      <c r="N103" s="224">
        <f t="shared" si="20"/>
        <v>0</v>
      </c>
      <c r="O103" s="224">
        <f t="shared" si="21"/>
        <v>0</v>
      </c>
      <c r="P103" s="1613" t="str">
        <f>IF(ISBLANK(F103),"",$P$96-SUM($L$97:L103))</f>
        <v/>
      </c>
      <c r="Q103" s="1614" t="str">
        <f>IF(ISBLANK(F103),"",$Q$96-SUM($M$97:M103))</f>
        <v/>
      </c>
      <c r="R103" s="259"/>
      <c r="S103" s="251" t="str">
        <f t="shared" si="22"/>
        <v/>
      </c>
    </row>
    <row r="104" spans="1:19" ht="18.95" customHeight="1">
      <c r="A104" s="1615"/>
      <c r="B104" s="1616"/>
      <c r="C104" s="1617"/>
      <c r="D104" s="1618"/>
      <c r="E104" s="1616"/>
      <c r="F104" s="1617"/>
      <c r="G104" s="1619"/>
      <c r="H104" s="1616"/>
      <c r="I104" s="1617"/>
      <c r="J104" s="1617"/>
      <c r="K104" s="1617"/>
      <c r="L104" s="223">
        <f t="shared" si="18"/>
        <v>0</v>
      </c>
      <c r="M104" s="224">
        <f t="shared" si="19"/>
        <v>0</v>
      </c>
      <c r="N104" s="224">
        <f t="shared" si="20"/>
        <v>0</v>
      </c>
      <c r="O104" s="224">
        <f t="shared" si="21"/>
        <v>0</v>
      </c>
      <c r="P104" s="1613" t="str">
        <f>IF(ISBLANK(F104),"",$P$96-SUM($L$97:L104))</f>
        <v/>
      </c>
      <c r="Q104" s="1614" t="str">
        <f>IF(ISBLANK(F104),"",$Q$96-SUM($M$97:M104))</f>
        <v/>
      </c>
      <c r="R104" s="259"/>
      <c r="S104" s="251" t="str">
        <f t="shared" si="22"/>
        <v/>
      </c>
    </row>
    <row r="105" spans="1:19" ht="18.95" customHeight="1">
      <c r="A105" s="1615"/>
      <c r="B105" s="1616"/>
      <c r="C105" s="1617"/>
      <c r="D105" s="1618"/>
      <c r="E105" s="1616"/>
      <c r="F105" s="1617"/>
      <c r="G105" s="1619"/>
      <c r="H105" s="1616"/>
      <c r="I105" s="1617"/>
      <c r="J105" s="1617"/>
      <c r="K105" s="1617"/>
      <c r="L105" s="223">
        <f t="shared" si="18"/>
        <v>0</v>
      </c>
      <c r="M105" s="224">
        <f t="shared" si="19"/>
        <v>0</v>
      </c>
      <c r="N105" s="224">
        <f t="shared" si="20"/>
        <v>0</v>
      </c>
      <c r="O105" s="224">
        <f t="shared" si="21"/>
        <v>0</v>
      </c>
      <c r="P105" s="1613" t="str">
        <f>IF(ISBLANK(F105),"",$P$96-SUM($L$97:L105))</f>
        <v/>
      </c>
      <c r="Q105" s="1614" t="str">
        <f>IF(ISBLANK(F105),"",$Q$96-SUM($M$97:M105))</f>
        <v/>
      </c>
      <c r="R105" s="259"/>
      <c r="S105" s="251" t="str">
        <f t="shared" si="22"/>
        <v/>
      </c>
    </row>
    <row r="106" spans="1:19" ht="18.95" customHeight="1">
      <c r="A106" s="1615"/>
      <c r="B106" s="1616"/>
      <c r="C106" s="1617"/>
      <c r="D106" s="1618"/>
      <c r="E106" s="1616"/>
      <c r="F106" s="1617"/>
      <c r="G106" s="1619"/>
      <c r="H106" s="1616"/>
      <c r="I106" s="1617"/>
      <c r="J106" s="1617"/>
      <c r="K106" s="1617"/>
      <c r="L106" s="223">
        <f t="shared" si="18"/>
        <v>0</v>
      </c>
      <c r="M106" s="224">
        <f t="shared" si="19"/>
        <v>0</v>
      </c>
      <c r="N106" s="224">
        <f t="shared" si="20"/>
        <v>0</v>
      </c>
      <c r="O106" s="224">
        <f t="shared" si="21"/>
        <v>0</v>
      </c>
      <c r="P106" s="1613" t="str">
        <f>IF(ISBLANK(F106),"",$P$96-SUM($L$97:L106))</f>
        <v/>
      </c>
      <c r="Q106" s="1614" t="str">
        <f>IF(ISBLANK(F106),"",$Q$96-SUM($M$97:M106))</f>
        <v/>
      </c>
      <c r="R106" s="259"/>
      <c r="S106" s="251" t="str">
        <f t="shared" si="22"/>
        <v/>
      </c>
    </row>
    <row r="107" spans="1:19" ht="18.95" customHeight="1">
      <c r="A107" s="1615"/>
      <c r="B107" s="1616"/>
      <c r="C107" s="1617"/>
      <c r="D107" s="1618"/>
      <c r="E107" s="1616"/>
      <c r="F107" s="1617"/>
      <c r="G107" s="1619"/>
      <c r="H107" s="1616"/>
      <c r="I107" s="1617"/>
      <c r="J107" s="1617"/>
      <c r="K107" s="1617"/>
      <c r="L107" s="223">
        <f t="shared" si="18"/>
        <v>0</v>
      </c>
      <c r="M107" s="224">
        <f t="shared" si="19"/>
        <v>0</v>
      </c>
      <c r="N107" s="224">
        <f t="shared" si="20"/>
        <v>0</v>
      </c>
      <c r="O107" s="224">
        <f t="shared" si="21"/>
        <v>0</v>
      </c>
      <c r="P107" s="1613" t="str">
        <f>IF(ISBLANK(F107),"",$P$96-SUM($L$97:L107))</f>
        <v/>
      </c>
      <c r="Q107" s="1614" t="str">
        <f>IF(ISBLANK(F107),"",$Q$96-SUM($M$97:M107))</f>
        <v/>
      </c>
      <c r="R107" s="259"/>
      <c r="S107" s="251" t="str">
        <f t="shared" si="22"/>
        <v/>
      </c>
    </row>
    <row r="108" spans="1:19" ht="18.95" customHeight="1">
      <c r="A108" s="1615"/>
      <c r="B108" s="1616"/>
      <c r="C108" s="1617"/>
      <c r="D108" s="1618"/>
      <c r="E108" s="1616"/>
      <c r="F108" s="1617"/>
      <c r="G108" s="1619"/>
      <c r="H108" s="1616"/>
      <c r="I108" s="1617"/>
      <c r="J108" s="1617"/>
      <c r="K108" s="1617"/>
      <c r="L108" s="223">
        <f t="shared" si="18"/>
        <v>0</v>
      </c>
      <c r="M108" s="224">
        <f t="shared" si="19"/>
        <v>0</v>
      </c>
      <c r="N108" s="224">
        <f t="shared" si="20"/>
        <v>0</v>
      </c>
      <c r="O108" s="224">
        <f t="shared" si="21"/>
        <v>0</v>
      </c>
      <c r="P108" s="1613" t="str">
        <f>IF(ISBLANK(F108),"",$P$96-SUM($L$97:L108))</f>
        <v/>
      </c>
      <c r="Q108" s="1614" t="str">
        <f>IF(ISBLANK(F108),"",$Q$96-SUM($M$97:M108))</f>
        <v/>
      </c>
      <c r="R108" s="259"/>
      <c r="S108" s="251" t="str">
        <f t="shared" si="22"/>
        <v/>
      </c>
    </row>
    <row r="109" spans="1:19" ht="18.95" customHeight="1">
      <c r="A109" s="1615"/>
      <c r="B109" s="1616"/>
      <c r="C109" s="1617"/>
      <c r="D109" s="1618"/>
      <c r="E109" s="1616"/>
      <c r="F109" s="1617"/>
      <c r="G109" s="1619"/>
      <c r="H109" s="1616"/>
      <c r="I109" s="1617"/>
      <c r="J109" s="1617"/>
      <c r="K109" s="1617"/>
      <c r="L109" s="223">
        <f t="shared" si="18"/>
        <v>0</v>
      </c>
      <c r="M109" s="224">
        <f t="shared" si="19"/>
        <v>0</v>
      </c>
      <c r="N109" s="224">
        <f t="shared" si="20"/>
        <v>0</v>
      </c>
      <c r="O109" s="224">
        <f t="shared" si="21"/>
        <v>0</v>
      </c>
      <c r="P109" s="1613" t="str">
        <f>IF(ISBLANK(F109),"",$P$96-SUM($L$97:L109))</f>
        <v/>
      </c>
      <c r="Q109" s="1614" t="str">
        <f>IF(ISBLANK(F109),"",$Q$96-SUM($M$97:M109))</f>
        <v/>
      </c>
      <c r="R109" s="259"/>
      <c r="S109" s="251" t="str">
        <f t="shared" si="22"/>
        <v/>
      </c>
    </row>
    <row r="110" spans="1:19" ht="18.95" customHeight="1">
      <c r="A110" s="1615"/>
      <c r="B110" s="1616"/>
      <c r="C110" s="1617"/>
      <c r="D110" s="1618"/>
      <c r="E110" s="1616"/>
      <c r="F110" s="1617"/>
      <c r="G110" s="1619"/>
      <c r="H110" s="1616"/>
      <c r="I110" s="1617"/>
      <c r="J110" s="1617"/>
      <c r="K110" s="1617"/>
      <c r="L110" s="223">
        <f t="shared" si="18"/>
        <v>0</v>
      </c>
      <c r="M110" s="224">
        <f t="shared" si="19"/>
        <v>0</v>
      </c>
      <c r="N110" s="224">
        <f t="shared" si="20"/>
        <v>0</v>
      </c>
      <c r="O110" s="224">
        <f t="shared" si="21"/>
        <v>0</v>
      </c>
      <c r="P110" s="1613" t="str">
        <f>IF(ISBLANK(F110),"",$P$96-SUM($L$97:L110))</f>
        <v/>
      </c>
      <c r="Q110" s="1614" t="str">
        <f>IF(ISBLANK(F110),"",$Q$96-SUM($M$97:M110))</f>
        <v/>
      </c>
      <c r="R110" s="259"/>
      <c r="S110" s="251" t="str">
        <f t="shared" si="22"/>
        <v/>
      </c>
    </row>
    <row r="111" spans="1:19" ht="18.95" customHeight="1">
      <c r="A111" s="1615"/>
      <c r="B111" s="1616"/>
      <c r="C111" s="1617"/>
      <c r="D111" s="1618"/>
      <c r="E111" s="1616"/>
      <c r="F111" s="1617"/>
      <c r="G111" s="1619"/>
      <c r="H111" s="1616"/>
      <c r="I111" s="1617"/>
      <c r="J111" s="1617"/>
      <c r="K111" s="1617"/>
      <c r="L111" s="223">
        <f t="shared" si="18"/>
        <v>0</v>
      </c>
      <c r="M111" s="224">
        <f t="shared" si="19"/>
        <v>0</v>
      </c>
      <c r="N111" s="224">
        <f t="shared" si="20"/>
        <v>0</v>
      </c>
      <c r="O111" s="224">
        <f t="shared" si="21"/>
        <v>0</v>
      </c>
      <c r="P111" s="1613" t="str">
        <f>IF(ISBLANK(F111),"",$P$96-SUM($L$97:L111))</f>
        <v/>
      </c>
      <c r="Q111" s="1614" t="str">
        <f>IF(ISBLANK(F111),"",$Q$96-SUM($M$97:M111))</f>
        <v/>
      </c>
      <c r="R111" s="259"/>
      <c r="S111" s="251" t="str">
        <f t="shared" si="22"/>
        <v/>
      </c>
    </row>
    <row r="112" spans="1:19" ht="18.95" customHeight="1">
      <c r="A112" s="1615"/>
      <c r="B112" s="1616"/>
      <c r="C112" s="1617"/>
      <c r="D112" s="1618"/>
      <c r="E112" s="1616"/>
      <c r="F112" s="1617"/>
      <c r="G112" s="1619"/>
      <c r="H112" s="1616"/>
      <c r="I112" s="1617"/>
      <c r="J112" s="1617"/>
      <c r="K112" s="1617"/>
      <c r="L112" s="223">
        <f t="shared" si="18"/>
        <v>0</v>
      </c>
      <c r="M112" s="224">
        <f t="shared" si="19"/>
        <v>0</v>
      </c>
      <c r="N112" s="224">
        <f t="shared" si="20"/>
        <v>0</v>
      </c>
      <c r="O112" s="224">
        <f t="shared" si="21"/>
        <v>0</v>
      </c>
      <c r="P112" s="1613" t="str">
        <f>IF(ISBLANK(F112),"",$P$96-SUM($L$97:L112))</f>
        <v/>
      </c>
      <c r="Q112" s="1614" t="str">
        <f>IF(ISBLANK(F112),"",$Q$96-SUM($M$97:M112))</f>
        <v/>
      </c>
      <c r="R112" s="259"/>
      <c r="S112" s="251" t="str">
        <f t="shared" si="22"/>
        <v/>
      </c>
    </row>
    <row r="113" spans="1:19" ht="18.95" customHeight="1">
      <c r="A113" s="1615"/>
      <c r="B113" s="1616"/>
      <c r="C113" s="1617"/>
      <c r="D113" s="1618"/>
      <c r="E113" s="1616"/>
      <c r="F113" s="1617"/>
      <c r="G113" s="1619"/>
      <c r="H113" s="1616"/>
      <c r="I113" s="1617"/>
      <c r="J113" s="1617"/>
      <c r="K113" s="1617"/>
      <c r="L113" s="223">
        <f t="shared" si="18"/>
        <v>0</v>
      </c>
      <c r="M113" s="224">
        <f t="shared" si="19"/>
        <v>0</v>
      </c>
      <c r="N113" s="224">
        <f t="shared" si="20"/>
        <v>0</v>
      </c>
      <c r="O113" s="224">
        <f t="shared" si="21"/>
        <v>0</v>
      </c>
      <c r="P113" s="1613" t="str">
        <f>IF(ISBLANK(F113),"",$P$96-SUM($L$97:L113))</f>
        <v/>
      </c>
      <c r="Q113" s="1614" t="str">
        <f>IF(ISBLANK(F113),"",$Q$96-SUM($M$97:M113))</f>
        <v/>
      </c>
      <c r="R113" s="259"/>
      <c r="S113" s="251" t="str">
        <f>IF(AND(ISBLANK(F113)=FALSE,ISBLANK(G113)),"Einheit eintragen (z.B. kg, dt, t, m3, etc.)","")</f>
        <v/>
      </c>
    </row>
    <row r="114" spans="1:19" ht="18.95" customHeight="1">
      <c r="A114" s="1615"/>
      <c r="B114" s="1616"/>
      <c r="C114" s="1617"/>
      <c r="D114" s="1618"/>
      <c r="E114" s="1616"/>
      <c r="F114" s="1617"/>
      <c r="G114" s="1619"/>
      <c r="H114" s="1616"/>
      <c r="I114" s="1617"/>
      <c r="J114" s="1617"/>
      <c r="K114" s="1617"/>
      <c r="L114" s="223">
        <f t="shared" si="18"/>
        <v>0</v>
      </c>
      <c r="M114" s="224">
        <f t="shared" si="19"/>
        <v>0</v>
      </c>
      <c r="N114" s="224">
        <f t="shared" si="20"/>
        <v>0</v>
      </c>
      <c r="O114" s="224">
        <f t="shared" si="21"/>
        <v>0</v>
      </c>
      <c r="P114" s="1613" t="str">
        <f>IF(ISBLANK(F114),"",$P$96-SUM($L$97:L114))</f>
        <v/>
      </c>
      <c r="Q114" s="1614" t="str">
        <f>IF(ISBLANK(F114),"",$Q$96-SUM($M$97:M114))</f>
        <v/>
      </c>
      <c r="R114" s="259"/>
      <c r="S114" s="251" t="str">
        <f>IF(AND(ISBLANK(F114)=FALSE,ISBLANK(G114)),"Einheit eintragen (z.B. kg, dt, t, m3, etc.)","")</f>
        <v/>
      </c>
    </row>
    <row r="115" spans="1:19" ht="18.95" customHeight="1">
      <c r="A115" s="1615"/>
      <c r="B115" s="1616"/>
      <c r="C115" s="1617"/>
      <c r="D115" s="1618"/>
      <c r="E115" s="1616"/>
      <c r="F115" s="1617"/>
      <c r="G115" s="1619"/>
      <c r="H115" s="1616"/>
      <c r="I115" s="1617"/>
      <c r="J115" s="1617"/>
      <c r="K115" s="1617"/>
      <c r="L115" s="223">
        <f t="shared" si="18"/>
        <v>0</v>
      </c>
      <c r="M115" s="224">
        <f t="shared" si="19"/>
        <v>0</v>
      </c>
      <c r="N115" s="224">
        <f t="shared" si="20"/>
        <v>0</v>
      </c>
      <c r="O115" s="224">
        <f t="shared" si="21"/>
        <v>0</v>
      </c>
      <c r="P115" s="1613" t="str">
        <f>IF(ISBLANK(F115),"",$P$96-SUM($L$97:L115))</f>
        <v/>
      </c>
      <c r="Q115" s="1614" t="str">
        <f>IF(ISBLANK(F115),"",$Q$96-SUM($M$97:M115))</f>
        <v/>
      </c>
      <c r="R115" s="259"/>
      <c r="S115" s="251" t="str">
        <f>IF(AND(ISBLANK(F115)=FALSE,ISBLANK(G115)),"Einheit eintragen (z.B. kg, dt, t, m3, etc.)","")</f>
        <v/>
      </c>
    </row>
    <row r="116" spans="1:19" ht="18.95" customHeight="1">
      <c r="A116" s="1615"/>
      <c r="B116" s="1616"/>
      <c r="C116" s="1617"/>
      <c r="D116" s="1618"/>
      <c r="E116" s="1616"/>
      <c r="F116" s="1617"/>
      <c r="G116" s="1619"/>
      <c r="H116" s="1616"/>
      <c r="I116" s="1617"/>
      <c r="J116" s="1617"/>
      <c r="K116" s="1617"/>
      <c r="L116" s="223">
        <f t="shared" si="18"/>
        <v>0</v>
      </c>
      <c r="M116" s="224">
        <f t="shared" si="19"/>
        <v>0</v>
      </c>
      <c r="N116" s="224">
        <f t="shared" si="20"/>
        <v>0</v>
      </c>
      <c r="O116" s="224">
        <f t="shared" si="21"/>
        <v>0</v>
      </c>
      <c r="P116" s="1613" t="str">
        <f>IF(ISBLANK(F116),"",$P$96-SUM($L$97:L116))</f>
        <v/>
      </c>
      <c r="Q116" s="1614" t="str">
        <f>IF(ISBLANK(F116),"",$Q$96-SUM($M$97:M116))</f>
        <v/>
      </c>
      <c r="R116" s="259"/>
      <c r="S116" s="251" t="str">
        <f>IF(AND(ISBLANK(F116)=FALSE,ISBLANK(G116)),"Einheit eintragen (z.B. kg, dt, t, m3, etc.)","")</f>
        <v/>
      </c>
    </row>
    <row r="117" spans="1:19" ht="18.95" customHeight="1">
      <c r="A117" s="1615"/>
      <c r="B117" s="1616"/>
      <c r="C117" s="1617"/>
      <c r="D117" s="1618"/>
      <c r="E117" s="1616"/>
      <c r="F117" s="1617"/>
      <c r="G117" s="1619"/>
      <c r="H117" s="1616"/>
      <c r="I117" s="1617"/>
      <c r="J117" s="1617"/>
      <c r="K117" s="1617"/>
      <c r="L117" s="223">
        <f t="shared" si="18"/>
        <v>0</v>
      </c>
      <c r="M117" s="224">
        <f t="shared" si="19"/>
        <v>0</v>
      </c>
      <c r="N117" s="224">
        <f t="shared" si="20"/>
        <v>0</v>
      </c>
      <c r="O117" s="224">
        <f t="shared" si="21"/>
        <v>0</v>
      </c>
      <c r="P117" s="1613" t="str">
        <f>IF(ISBLANK(F117),"",$P$96-SUM($L$97:L117))</f>
        <v/>
      </c>
      <c r="Q117" s="1614" t="str">
        <f>IF(ISBLANK(F117),"",$Q$96-SUM($M$97:M117))</f>
        <v/>
      </c>
      <c r="R117" s="259"/>
      <c r="S117" s="251" t="str">
        <f>IF(AND(ISBLANK(F117)=FALSE,ISBLANK(G117)),"Einheit eintragen (z.B. kg, dt, t, m3, etc.)","")</f>
        <v/>
      </c>
    </row>
    <row r="118" spans="1:19" ht="20.100000000000001" customHeight="1">
      <c r="A118" s="962"/>
      <c r="D118" s="219"/>
      <c r="J118" s="206"/>
      <c r="K118" s="207" t="s">
        <v>70</v>
      </c>
      <c r="L118" s="208">
        <f>SUM(L96:L117)</f>
        <v>148.5</v>
      </c>
      <c r="M118" s="209">
        <f>SUM(M96:M117)</f>
        <v>0</v>
      </c>
      <c r="N118" s="209">
        <f>SUM(N96:N117)</f>
        <v>0</v>
      </c>
      <c r="O118" s="210">
        <f>SUM(O96:O117)</f>
        <v>0</v>
      </c>
      <c r="P118" s="211">
        <f>$P$13-L118</f>
        <v>-148.5</v>
      </c>
      <c r="Q118" s="212">
        <f>$Q$13-M118</f>
        <v>0</v>
      </c>
      <c r="R118" s="260"/>
    </row>
    <row r="119" spans="1:19" ht="20.100000000000001" customHeight="1">
      <c r="A119" s="960"/>
      <c r="D119" s="219"/>
      <c r="H119" s="206"/>
      <c r="I119" s="206"/>
      <c r="J119" s="206"/>
      <c r="K119" s="207"/>
      <c r="L119" s="213"/>
      <c r="M119" s="213"/>
      <c r="N119" s="213"/>
      <c r="O119" s="213"/>
      <c r="P119" s="214"/>
      <c r="Q119" s="214"/>
      <c r="R119" s="257"/>
    </row>
    <row r="120" spans="1:19" ht="21.95" customHeight="1">
      <c r="A120" s="215" t="s">
        <v>71</v>
      </c>
      <c r="E120" s="244" t="str">
        <f>IF(OR(ISBLANK(I$8),ISBLANK(I$9)),"Zeitraum (von-bis) zu oberst eingeben","(Fortsetzung "&amp;DAY(I$8)&amp;"."&amp;MONTH(I$8)&amp;"."&amp;YEAR(I$8)&amp;" - "&amp;DAY(I$9)&amp;"."&amp;MONTH(I$9)&amp;"."&amp;YEAR(I$9)&amp;")")</f>
        <v>Zeitraum (von-bis) zu oberst eingeben</v>
      </c>
      <c r="F120" s="195"/>
      <c r="G120" s="234"/>
      <c r="H120" s="227" t="s">
        <v>30</v>
      </c>
      <c r="I120" s="228" t="str">
        <f>M$8&amp;", "&amp;M$9&amp;", "&amp;M$10</f>
        <v xml:space="preserve">, , </v>
      </c>
      <c r="J120" s="228"/>
      <c r="K120" s="228"/>
      <c r="L120" s="228"/>
      <c r="M120" s="228"/>
      <c r="N120" s="228"/>
      <c r="O120" s="228"/>
      <c r="P120" s="228" t="str">
        <f>"Nr. "&amp;Q$8</f>
        <v xml:space="preserve">Nr. </v>
      </c>
      <c r="Q120" s="226" t="s">
        <v>75</v>
      </c>
      <c r="R120" s="253"/>
    </row>
    <row r="121" spans="1:19" ht="3.95" customHeight="1">
      <c r="A121" s="204"/>
      <c r="D121" s="219"/>
      <c r="H121" s="198"/>
      <c r="I121" s="193"/>
      <c r="P121" s="196"/>
      <c r="Q121" s="196"/>
      <c r="R121" s="258"/>
    </row>
    <row r="122" spans="1:19" ht="30" customHeight="1">
      <c r="A122" s="181" t="s">
        <v>46</v>
      </c>
      <c r="B122" s="182" t="s">
        <v>47</v>
      </c>
      <c r="C122" s="183" t="s">
        <v>48</v>
      </c>
      <c r="D122" s="184" t="s">
        <v>49</v>
      </c>
      <c r="E122" s="182" t="s">
        <v>50</v>
      </c>
      <c r="F122" s="241" t="s">
        <v>51</v>
      </c>
      <c r="G122" s="245" t="s">
        <v>52</v>
      </c>
      <c r="H122" s="222" t="s">
        <v>53</v>
      </c>
      <c r="I122" s="185"/>
      <c r="J122" s="185"/>
      <c r="K122" s="186"/>
      <c r="L122" s="235" t="s">
        <v>55</v>
      </c>
      <c r="M122" s="185"/>
      <c r="N122" s="185"/>
      <c r="O122" s="186"/>
      <c r="P122" s="242" t="s">
        <v>56</v>
      </c>
      <c r="Q122" s="186"/>
      <c r="R122" s="255"/>
    </row>
    <row r="123" spans="1:19" ht="20.100000000000001" customHeight="1">
      <c r="A123" s="187"/>
      <c r="B123" s="188"/>
      <c r="C123" s="189"/>
      <c r="D123" s="218" t="s">
        <v>57</v>
      </c>
      <c r="E123" s="229" t="s">
        <v>58</v>
      </c>
      <c r="F123" s="221" t="s">
        <v>59</v>
      </c>
      <c r="G123" s="246" t="s">
        <v>60</v>
      </c>
      <c r="H123" s="229" t="s">
        <v>61</v>
      </c>
      <c r="I123" s="221" t="s">
        <v>62</v>
      </c>
      <c r="J123" s="221" t="s">
        <v>63</v>
      </c>
      <c r="K123" s="218" t="s">
        <v>64</v>
      </c>
      <c r="L123" s="191" t="s">
        <v>65</v>
      </c>
      <c r="M123" s="191" t="s">
        <v>66</v>
      </c>
      <c r="N123" s="191" t="s">
        <v>67</v>
      </c>
      <c r="O123" s="190" t="s">
        <v>64</v>
      </c>
      <c r="P123" s="249" t="s">
        <v>68</v>
      </c>
      <c r="Q123" s="250" t="s">
        <v>69</v>
      </c>
      <c r="R123" s="256"/>
    </row>
    <row r="124" spans="1:19" ht="20.100000000000001" customHeight="1">
      <c r="A124" s="961"/>
      <c r="B124" s="216"/>
      <c r="C124" s="216"/>
      <c r="D124" s="220"/>
      <c r="E124" s="216"/>
      <c r="F124" s="216"/>
      <c r="G124" s="233"/>
      <c r="H124" s="216"/>
      <c r="I124" s="216"/>
      <c r="J124" s="216"/>
      <c r="K124" s="217" t="s">
        <v>70</v>
      </c>
      <c r="L124" s="208">
        <f t="shared" ref="L124:Q124" si="23">L118</f>
        <v>148.5</v>
      </c>
      <c r="M124" s="209">
        <f t="shared" si="23"/>
        <v>0</v>
      </c>
      <c r="N124" s="209">
        <f t="shared" si="23"/>
        <v>0</v>
      </c>
      <c r="O124" s="209">
        <f t="shared" si="23"/>
        <v>0</v>
      </c>
      <c r="P124" s="211">
        <f t="shared" si="23"/>
        <v>-148.5</v>
      </c>
      <c r="Q124" s="212">
        <f t="shared" si="23"/>
        <v>0</v>
      </c>
      <c r="R124" s="257"/>
    </row>
    <row r="125" spans="1:19" ht="18.95" customHeight="1">
      <c r="A125" s="1615"/>
      <c r="B125" s="1616"/>
      <c r="C125" s="1617"/>
      <c r="D125" s="1618"/>
      <c r="E125" s="1616"/>
      <c r="F125" s="1617"/>
      <c r="G125" s="1619"/>
      <c r="H125" s="1616"/>
      <c r="I125" s="1617"/>
      <c r="J125" s="1617"/>
      <c r="K125" s="1617"/>
      <c r="L125" s="223">
        <f t="shared" ref="L125:L145" si="24">F125*H125</f>
        <v>0</v>
      </c>
      <c r="M125" s="224">
        <f t="shared" ref="M125:M145" si="25">F125*I125</f>
        <v>0</v>
      </c>
      <c r="N125" s="224">
        <f t="shared" ref="N125:N145" si="26">F125*J125</f>
        <v>0</v>
      </c>
      <c r="O125" s="224">
        <f t="shared" ref="O125:O145" si="27">F125*K125</f>
        <v>0</v>
      </c>
      <c r="P125" s="1613" t="str">
        <f>IF(ISBLANK(F125),"",$P$124-SUM($L$125:L125))</f>
        <v/>
      </c>
      <c r="Q125" s="1614" t="str">
        <f>IF(ISBLANK(F125),"",$Q$124-SUM($M$125:M125))</f>
        <v/>
      </c>
      <c r="R125" s="259"/>
      <c r="S125" s="251" t="str">
        <f t="shared" ref="S125:S140" si="28">IF(AND(ISBLANK(F125)=FALSE,ISBLANK(G125)),"Einheit eintragen (z.B. kg, dt, t, m3, etc.)","")</f>
        <v/>
      </c>
    </row>
    <row r="126" spans="1:19" ht="18.95" customHeight="1">
      <c r="A126" s="1615"/>
      <c r="B126" s="1616"/>
      <c r="C126" s="1617"/>
      <c r="D126" s="1618"/>
      <c r="E126" s="1616"/>
      <c r="F126" s="1617"/>
      <c r="G126" s="1619"/>
      <c r="H126" s="1616"/>
      <c r="I126" s="1617"/>
      <c r="J126" s="1617"/>
      <c r="K126" s="1617"/>
      <c r="L126" s="223">
        <f t="shared" si="24"/>
        <v>0</v>
      </c>
      <c r="M126" s="224">
        <f t="shared" si="25"/>
        <v>0</v>
      </c>
      <c r="N126" s="224">
        <f t="shared" si="26"/>
        <v>0</v>
      </c>
      <c r="O126" s="224">
        <f t="shared" si="27"/>
        <v>0</v>
      </c>
      <c r="P126" s="1613" t="str">
        <f>IF(ISBLANK(F126),"",$P$124-SUM($L$125:L126))</f>
        <v/>
      </c>
      <c r="Q126" s="1614" t="str">
        <f>IF(ISBLANK(F126),"",$Q$124-SUM($M$125:M126))</f>
        <v/>
      </c>
      <c r="R126" s="259"/>
      <c r="S126" s="251" t="str">
        <f t="shared" si="28"/>
        <v/>
      </c>
    </row>
    <row r="127" spans="1:19" ht="18.95" customHeight="1">
      <c r="A127" s="1615"/>
      <c r="B127" s="1616"/>
      <c r="C127" s="1617"/>
      <c r="D127" s="1618"/>
      <c r="E127" s="1616"/>
      <c r="F127" s="1617"/>
      <c r="G127" s="1619"/>
      <c r="H127" s="1616"/>
      <c r="I127" s="1617"/>
      <c r="J127" s="1617"/>
      <c r="K127" s="1617"/>
      <c r="L127" s="223">
        <f t="shared" si="24"/>
        <v>0</v>
      </c>
      <c r="M127" s="224">
        <f t="shared" si="25"/>
        <v>0</v>
      </c>
      <c r="N127" s="224">
        <f t="shared" si="26"/>
        <v>0</v>
      </c>
      <c r="O127" s="224">
        <f t="shared" si="27"/>
        <v>0</v>
      </c>
      <c r="P127" s="1613" t="str">
        <f>IF(ISBLANK(F127),"",$P$124-SUM($L$125:L127))</f>
        <v/>
      </c>
      <c r="Q127" s="1614" t="str">
        <f>IF(ISBLANK(F127),"",$Q$124-SUM($M$125:M127))</f>
        <v/>
      </c>
      <c r="R127" s="259"/>
      <c r="S127" s="251" t="str">
        <f t="shared" si="28"/>
        <v/>
      </c>
    </row>
    <row r="128" spans="1:19" ht="18.95" customHeight="1">
      <c r="A128" s="1615"/>
      <c r="B128" s="1616"/>
      <c r="C128" s="1617"/>
      <c r="D128" s="1618"/>
      <c r="E128" s="1616"/>
      <c r="F128" s="1617"/>
      <c r="G128" s="1619"/>
      <c r="H128" s="1616"/>
      <c r="I128" s="1617"/>
      <c r="J128" s="1617"/>
      <c r="K128" s="1617"/>
      <c r="L128" s="223">
        <f t="shared" si="24"/>
        <v>0</v>
      </c>
      <c r="M128" s="224">
        <f t="shared" si="25"/>
        <v>0</v>
      </c>
      <c r="N128" s="224">
        <f t="shared" si="26"/>
        <v>0</v>
      </c>
      <c r="O128" s="224">
        <f t="shared" si="27"/>
        <v>0</v>
      </c>
      <c r="P128" s="1613" t="str">
        <f>IF(ISBLANK(F128),"",$P$124-SUM($L$125:L128))</f>
        <v/>
      </c>
      <c r="Q128" s="1614" t="str">
        <f>IF(ISBLANK(F128),"",$Q$124-SUM($M$125:M128))</f>
        <v/>
      </c>
      <c r="R128" s="259"/>
      <c r="S128" s="251" t="str">
        <f t="shared" si="28"/>
        <v/>
      </c>
    </row>
    <row r="129" spans="1:19" ht="18.95" customHeight="1">
      <c r="A129" s="1615"/>
      <c r="B129" s="1616"/>
      <c r="C129" s="1617"/>
      <c r="D129" s="1618"/>
      <c r="E129" s="1616"/>
      <c r="F129" s="1617"/>
      <c r="G129" s="1619"/>
      <c r="H129" s="1616"/>
      <c r="I129" s="1617"/>
      <c r="J129" s="1617"/>
      <c r="K129" s="1617"/>
      <c r="L129" s="223">
        <f t="shared" si="24"/>
        <v>0</v>
      </c>
      <c r="M129" s="224">
        <f t="shared" si="25"/>
        <v>0</v>
      </c>
      <c r="N129" s="224">
        <f t="shared" si="26"/>
        <v>0</v>
      </c>
      <c r="O129" s="224">
        <f t="shared" si="27"/>
        <v>0</v>
      </c>
      <c r="P129" s="1613" t="str">
        <f>IF(ISBLANK(F129),"",$P$124-SUM($L$125:L129))</f>
        <v/>
      </c>
      <c r="Q129" s="1614" t="str">
        <f>IF(ISBLANK(F129),"",$Q$124-SUM($M$125:M129))</f>
        <v/>
      </c>
      <c r="R129" s="259"/>
      <c r="S129" s="251" t="str">
        <f t="shared" si="28"/>
        <v/>
      </c>
    </row>
    <row r="130" spans="1:19" ht="18.95" customHeight="1">
      <c r="A130" s="1615"/>
      <c r="B130" s="1616"/>
      <c r="C130" s="1617"/>
      <c r="D130" s="1618"/>
      <c r="E130" s="1616"/>
      <c r="F130" s="1617"/>
      <c r="G130" s="1619"/>
      <c r="H130" s="1616"/>
      <c r="I130" s="1617"/>
      <c r="J130" s="1617"/>
      <c r="K130" s="1617"/>
      <c r="L130" s="223">
        <f t="shared" si="24"/>
        <v>0</v>
      </c>
      <c r="M130" s="224">
        <f t="shared" si="25"/>
        <v>0</v>
      </c>
      <c r="N130" s="224">
        <f t="shared" si="26"/>
        <v>0</v>
      </c>
      <c r="O130" s="224">
        <f t="shared" si="27"/>
        <v>0</v>
      </c>
      <c r="P130" s="1613" t="str">
        <f>IF(ISBLANK(F130),"",$P$124-SUM($L$125:L130))</f>
        <v/>
      </c>
      <c r="Q130" s="1614" t="str">
        <f>IF(ISBLANK(F130),"",$Q$124-SUM($M$125:M130))</f>
        <v/>
      </c>
      <c r="R130" s="259"/>
      <c r="S130" s="251" t="str">
        <f t="shared" si="28"/>
        <v/>
      </c>
    </row>
    <row r="131" spans="1:19" ht="18.95" customHeight="1">
      <c r="A131" s="1615"/>
      <c r="B131" s="1616"/>
      <c r="C131" s="1617"/>
      <c r="D131" s="1618"/>
      <c r="E131" s="1616"/>
      <c r="F131" s="1617"/>
      <c r="G131" s="1619"/>
      <c r="H131" s="1616"/>
      <c r="I131" s="1617"/>
      <c r="J131" s="1617"/>
      <c r="K131" s="1617"/>
      <c r="L131" s="223">
        <f t="shared" si="24"/>
        <v>0</v>
      </c>
      <c r="M131" s="224">
        <f t="shared" si="25"/>
        <v>0</v>
      </c>
      <c r="N131" s="224">
        <f t="shared" si="26"/>
        <v>0</v>
      </c>
      <c r="O131" s="224">
        <f t="shared" si="27"/>
        <v>0</v>
      </c>
      <c r="P131" s="1613" t="str">
        <f>IF(ISBLANK(F131),"",$P$124-SUM($L$125:L131))</f>
        <v/>
      </c>
      <c r="Q131" s="1614" t="str">
        <f>IF(ISBLANK(F131),"",$Q$124-SUM($M$125:M131))</f>
        <v/>
      </c>
      <c r="R131" s="259"/>
      <c r="S131" s="251" t="str">
        <f t="shared" si="28"/>
        <v/>
      </c>
    </row>
    <row r="132" spans="1:19" ht="18.95" customHeight="1">
      <c r="A132" s="1615"/>
      <c r="B132" s="1616"/>
      <c r="C132" s="1617"/>
      <c r="D132" s="1618"/>
      <c r="E132" s="1616"/>
      <c r="F132" s="1617"/>
      <c r="G132" s="1619"/>
      <c r="H132" s="1616"/>
      <c r="I132" s="1617"/>
      <c r="J132" s="1617"/>
      <c r="K132" s="1617"/>
      <c r="L132" s="223">
        <f t="shared" si="24"/>
        <v>0</v>
      </c>
      <c r="M132" s="224">
        <f t="shared" si="25"/>
        <v>0</v>
      </c>
      <c r="N132" s="224">
        <f t="shared" si="26"/>
        <v>0</v>
      </c>
      <c r="O132" s="224">
        <f t="shared" si="27"/>
        <v>0</v>
      </c>
      <c r="P132" s="1613" t="str">
        <f>IF(ISBLANK(F132),"",$P$124-SUM($L$125:L132))</f>
        <v/>
      </c>
      <c r="Q132" s="1614" t="str">
        <f>IF(ISBLANK(F132),"",$Q$124-SUM($M$125:M132))</f>
        <v/>
      </c>
      <c r="R132" s="259"/>
      <c r="S132" s="251" t="str">
        <f t="shared" si="28"/>
        <v/>
      </c>
    </row>
    <row r="133" spans="1:19" ht="18.95" customHeight="1">
      <c r="A133" s="1615"/>
      <c r="B133" s="1616"/>
      <c r="C133" s="1617"/>
      <c r="D133" s="1618"/>
      <c r="E133" s="1616"/>
      <c r="F133" s="1617"/>
      <c r="G133" s="1619"/>
      <c r="H133" s="1616"/>
      <c r="I133" s="1617"/>
      <c r="J133" s="1617"/>
      <c r="K133" s="1617"/>
      <c r="L133" s="223">
        <f t="shared" si="24"/>
        <v>0</v>
      </c>
      <c r="M133" s="224">
        <f t="shared" si="25"/>
        <v>0</v>
      </c>
      <c r="N133" s="224">
        <f t="shared" si="26"/>
        <v>0</v>
      </c>
      <c r="O133" s="224">
        <f t="shared" si="27"/>
        <v>0</v>
      </c>
      <c r="P133" s="1613" t="str">
        <f>IF(ISBLANK(F133),"",$P$124-SUM($L$125:L133))</f>
        <v/>
      </c>
      <c r="Q133" s="1614" t="str">
        <f>IF(ISBLANK(F133),"",$Q$124-SUM($M$125:M133))</f>
        <v/>
      </c>
      <c r="R133" s="259"/>
      <c r="S133" s="251" t="str">
        <f t="shared" si="28"/>
        <v/>
      </c>
    </row>
    <row r="134" spans="1:19" ht="18.95" customHeight="1">
      <c r="A134" s="1615"/>
      <c r="B134" s="1616"/>
      <c r="C134" s="1617"/>
      <c r="D134" s="1618"/>
      <c r="E134" s="1616"/>
      <c r="F134" s="1617"/>
      <c r="G134" s="1619"/>
      <c r="H134" s="1616"/>
      <c r="I134" s="1617"/>
      <c r="J134" s="1617"/>
      <c r="K134" s="1617"/>
      <c r="L134" s="223">
        <f t="shared" si="24"/>
        <v>0</v>
      </c>
      <c r="M134" s="224">
        <f t="shared" si="25"/>
        <v>0</v>
      </c>
      <c r="N134" s="224">
        <f t="shared" si="26"/>
        <v>0</v>
      </c>
      <c r="O134" s="224">
        <f t="shared" si="27"/>
        <v>0</v>
      </c>
      <c r="P134" s="1613" t="str">
        <f>IF(ISBLANK(F134),"",$P$124-SUM($L$125:L134))</f>
        <v/>
      </c>
      <c r="Q134" s="1614" t="str">
        <f>IF(ISBLANK(F134),"",$Q$124-SUM($M$125:M134))</f>
        <v/>
      </c>
      <c r="R134" s="259"/>
      <c r="S134" s="251" t="str">
        <f t="shared" si="28"/>
        <v/>
      </c>
    </row>
    <row r="135" spans="1:19" ht="18.95" customHeight="1">
      <c r="A135" s="1615"/>
      <c r="B135" s="1616"/>
      <c r="C135" s="1617"/>
      <c r="D135" s="1618"/>
      <c r="E135" s="1616"/>
      <c r="F135" s="1617"/>
      <c r="G135" s="1619"/>
      <c r="H135" s="1616"/>
      <c r="I135" s="1617"/>
      <c r="J135" s="1617"/>
      <c r="K135" s="1617"/>
      <c r="L135" s="223">
        <f t="shared" si="24"/>
        <v>0</v>
      </c>
      <c r="M135" s="224">
        <f t="shared" si="25"/>
        <v>0</v>
      </c>
      <c r="N135" s="224">
        <f t="shared" si="26"/>
        <v>0</v>
      </c>
      <c r="O135" s="224">
        <f t="shared" si="27"/>
        <v>0</v>
      </c>
      <c r="P135" s="1613" t="str">
        <f>IF(ISBLANK(F135),"",$P$124-SUM($L$125:L135))</f>
        <v/>
      </c>
      <c r="Q135" s="1614" t="str">
        <f>IF(ISBLANK(F135),"",$Q$124-SUM($M$125:M135))</f>
        <v/>
      </c>
      <c r="R135" s="259"/>
      <c r="S135" s="251" t="str">
        <f t="shared" si="28"/>
        <v/>
      </c>
    </row>
    <row r="136" spans="1:19" ht="18.95" customHeight="1">
      <c r="A136" s="1615"/>
      <c r="B136" s="1616"/>
      <c r="C136" s="1617"/>
      <c r="D136" s="1618"/>
      <c r="E136" s="1616"/>
      <c r="F136" s="1617"/>
      <c r="G136" s="1619"/>
      <c r="H136" s="1616"/>
      <c r="I136" s="1617"/>
      <c r="J136" s="1617"/>
      <c r="K136" s="1617"/>
      <c r="L136" s="223">
        <f t="shared" si="24"/>
        <v>0</v>
      </c>
      <c r="M136" s="224">
        <f t="shared" si="25"/>
        <v>0</v>
      </c>
      <c r="N136" s="224">
        <f t="shared" si="26"/>
        <v>0</v>
      </c>
      <c r="O136" s="224">
        <f t="shared" si="27"/>
        <v>0</v>
      </c>
      <c r="P136" s="1613" t="str">
        <f>IF(ISBLANK(F136),"",$P$124-SUM($L$125:L136))</f>
        <v/>
      </c>
      <c r="Q136" s="1614" t="str">
        <f>IF(ISBLANK(F136),"",$Q$124-SUM($M$125:M136))</f>
        <v/>
      </c>
      <c r="R136" s="259"/>
      <c r="S136" s="251" t="str">
        <f t="shared" si="28"/>
        <v/>
      </c>
    </row>
    <row r="137" spans="1:19" ht="18.95" customHeight="1">
      <c r="A137" s="1615"/>
      <c r="B137" s="1616"/>
      <c r="C137" s="1617"/>
      <c r="D137" s="1618"/>
      <c r="E137" s="1616"/>
      <c r="F137" s="1617"/>
      <c r="G137" s="1619"/>
      <c r="H137" s="1616"/>
      <c r="I137" s="1617"/>
      <c r="J137" s="1617"/>
      <c r="K137" s="1617"/>
      <c r="L137" s="223">
        <f t="shared" si="24"/>
        <v>0</v>
      </c>
      <c r="M137" s="224">
        <f t="shared" si="25"/>
        <v>0</v>
      </c>
      <c r="N137" s="224">
        <f t="shared" si="26"/>
        <v>0</v>
      </c>
      <c r="O137" s="224">
        <f t="shared" si="27"/>
        <v>0</v>
      </c>
      <c r="P137" s="1613" t="str">
        <f>IF(ISBLANK(F137),"",$P$124-SUM($L$125:L137))</f>
        <v/>
      </c>
      <c r="Q137" s="1614" t="str">
        <f>IF(ISBLANK(F137),"",$Q$124-SUM($M$125:M137))</f>
        <v/>
      </c>
      <c r="R137" s="259"/>
      <c r="S137" s="251" t="str">
        <f t="shared" si="28"/>
        <v/>
      </c>
    </row>
    <row r="138" spans="1:19" ht="18.95" customHeight="1">
      <c r="A138" s="1615"/>
      <c r="B138" s="1616"/>
      <c r="C138" s="1617"/>
      <c r="D138" s="1618"/>
      <c r="E138" s="1616"/>
      <c r="F138" s="1617"/>
      <c r="G138" s="1619"/>
      <c r="H138" s="1616"/>
      <c r="I138" s="1617"/>
      <c r="J138" s="1617"/>
      <c r="K138" s="1617"/>
      <c r="L138" s="223">
        <f t="shared" si="24"/>
        <v>0</v>
      </c>
      <c r="M138" s="224">
        <f t="shared" si="25"/>
        <v>0</v>
      </c>
      <c r="N138" s="224">
        <f t="shared" si="26"/>
        <v>0</v>
      </c>
      <c r="O138" s="224">
        <f t="shared" si="27"/>
        <v>0</v>
      </c>
      <c r="P138" s="1613" t="str">
        <f>IF(ISBLANK(F138),"",$P$124-SUM($L$125:L138))</f>
        <v/>
      </c>
      <c r="Q138" s="1614" t="str">
        <f>IF(ISBLANK(F138),"",$Q$124-SUM($M$125:M138))</f>
        <v/>
      </c>
      <c r="R138" s="259"/>
      <c r="S138" s="251" t="str">
        <f t="shared" si="28"/>
        <v/>
      </c>
    </row>
    <row r="139" spans="1:19" ht="18.95" customHeight="1">
      <c r="A139" s="1615"/>
      <c r="B139" s="1616"/>
      <c r="C139" s="1617"/>
      <c r="D139" s="1618"/>
      <c r="E139" s="1616"/>
      <c r="F139" s="1617"/>
      <c r="G139" s="1619"/>
      <c r="H139" s="1616"/>
      <c r="I139" s="1617"/>
      <c r="J139" s="1617"/>
      <c r="K139" s="1617"/>
      <c r="L139" s="223">
        <f t="shared" si="24"/>
        <v>0</v>
      </c>
      <c r="M139" s="224">
        <f t="shared" si="25"/>
        <v>0</v>
      </c>
      <c r="N139" s="224">
        <f t="shared" si="26"/>
        <v>0</v>
      </c>
      <c r="O139" s="224">
        <f t="shared" si="27"/>
        <v>0</v>
      </c>
      <c r="P139" s="1613" t="str">
        <f>IF(ISBLANK(F139),"",$P$124-SUM($L$125:L139))</f>
        <v/>
      </c>
      <c r="Q139" s="1614" t="str">
        <f>IF(ISBLANK(F139),"",$Q$124-SUM($M$125:M139))</f>
        <v/>
      </c>
      <c r="R139" s="259"/>
      <c r="S139" s="251" t="str">
        <f t="shared" si="28"/>
        <v/>
      </c>
    </row>
    <row r="140" spans="1:19" ht="18.95" customHeight="1">
      <c r="A140" s="1615"/>
      <c r="B140" s="1616"/>
      <c r="C140" s="1617"/>
      <c r="D140" s="1618"/>
      <c r="E140" s="1616"/>
      <c r="F140" s="1617"/>
      <c r="G140" s="1619"/>
      <c r="H140" s="1616"/>
      <c r="I140" s="1617"/>
      <c r="J140" s="1617"/>
      <c r="K140" s="1617"/>
      <c r="L140" s="223">
        <f t="shared" si="24"/>
        <v>0</v>
      </c>
      <c r="M140" s="224">
        <f t="shared" si="25"/>
        <v>0</v>
      </c>
      <c r="N140" s="224">
        <f t="shared" si="26"/>
        <v>0</v>
      </c>
      <c r="O140" s="224">
        <f t="shared" si="27"/>
        <v>0</v>
      </c>
      <c r="P140" s="1613" t="str">
        <f>IF(ISBLANK(F140),"",$P$124-SUM($L$125:L140))</f>
        <v/>
      </c>
      <c r="Q140" s="1614" t="str">
        <f>IF(ISBLANK(F140),"",$Q$124-SUM($M$125:M140))</f>
        <v/>
      </c>
      <c r="R140" s="259"/>
      <c r="S140" s="251" t="str">
        <f t="shared" si="28"/>
        <v/>
      </c>
    </row>
    <row r="141" spans="1:19" ht="18.95" customHeight="1">
      <c r="A141" s="1615"/>
      <c r="B141" s="1616"/>
      <c r="C141" s="1617"/>
      <c r="D141" s="1618"/>
      <c r="E141" s="1616"/>
      <c r="F141" s="1617"/>
      <c r="G141" s="1619"/>
      <c r="H141" s="1616"/>
      <c r="I141" s="1617"/>
      <c r="J141" s="1617"/>
      <c r="K141" s="1617"/>
      <c r="L141" s="223">
        <f t="shared" si="24"/>
        <v>0</v>
      </c>
      <c r="M141" s="224">
        <f t="shared" si="25"/>
        <v>0</v>
      </c>
      <c r="N141" s="224">
        <f t="shared" si="26"/>
        <v>0</v>
      </c>
      <c r="O141" s="224">
        <f t="shared" si="27"/>
        <v>0</v>
      </c>
      <c r="P141" s="1613" t="str">
        <f>IF(ISBLANK(F141),"",$P$124-SUM($L$125:L141))</f>
        <v/>
      </c>
      <c r="Q141" s="1614" t="str">
        <f>IF(ISBLANK(F141),"",$Q$124-SUM($M$125:M141))</f>
        <v/>
      </c>
      <c r="R141" s="259"/>
      <c r="S141" s="251" t="str">
        <f>IF(AND(ISBLANK(F141)=FALSE,ISBLANK(G141)),"Einheit eintragen (z.B. kg, dt, t, m3, etc.)","")</f>
        <v/>
      </c>
    </row>
    <row r="142" spans="1:19" ht="18.95" customHeight="1">
      <c r="A142" s="1615"/>
      <c r="B142" s="1616"/>
      <c r="C142" s="1617"/>
      <c r="D142" s="1618"/>
      <c r="E142" s="1616"/>
      <c r="F142" s="1617"/>
      <c r="G142" s="1619"/>
      <c r="H142" s="1616"/>
      <c r="I142" s="1617"/>
      <c r="J142" s="1617"/>
      <c r="K142" s="1617"/>
      <c r="L142" s="223">
        <f t="shared" si="24"/>
        <v>0</v>
      </c>
      <c r="M142" s="224">
        <f t="shared" si="25"/>
        <v>0</v>
      </c>
      <c r="N142" s="224">
        <f t="shared" si="26"/>
        <v>0</v>
      </c>
      <c r="O142" s="224">
        <f t="shared" si="27"/>
        <v>0</v>
      </c>
      <c r="P142" s="1613" t="str">
        <f>IF(ISBLANK(F142),"",$P$124-SUM($L$125:L142))</f>
        <v/>
      </c>
      <c r="Q142" s="1614" t="str">
        <f>IF(ISBLANK(F142),"",$Q$124-SUM($M$125:M142))</f>
        <v/>
      </c>
      <c r="R142" s="259"/>
      <c r="S142" s="251" t="str">
        <f>IF(AND(ISBLANK(F142)=FALSE,ISBLANK(G142)),"Einheit eintragen (z.B. kg, dt, t, m3, etc.)","")</f>
        <v/>
      </c>
    </row>
    <row r="143" spans="1:19" ht="18.95" customHeight="1">
      <c r="A143" s="1615"/>
      <c r="B143" s="1616"/>
      <c r="C143" s="1617"/>
      <c r="D143" s="1618"/>
      <c r="E143" s="1616"/>
      <c r="F143" s="1617"/>
      <c r="G143" s="1619"/>
      <c r="H143" s="1616"/>
      <c r="I143" s="1617"/>
      <c r="J143" s="1617"/>
      <c r="K143" s="1617"/>
      <c r="L143" s="223">
        <f t="shared" si="24"/>
        <v>0</v>
      </c>
      <c r="M143" s="224">
        <f t="shared" si="25"/>
        <v>0</v>
      </c>
      <c r="N143" s="224">
        <f t="shared" si="26"/>
        <v>0</v>
      </c>
      <c r="O143" s="224">
        <f t="shared" si="27"/>
        <v>0</v>
      </c>
      <c r="P143" s="1613" t="str">
        <f>IF(ISBLANK(F143),"",$P$124-SUM($L$125:L143))</f>
        <v/>
      </c>
      <c r="Q143" s="1614" t="str">
        <f>IF(ISBLANK(F143),"",$Q$124-SUM($M$125:M143))</f>
        <v/>
      </c>
      <c r="R143" s="259"/>
      <c r="S143" s="251" t="str">
        <f>IF(AND(ISBLANK(F143)=FALSE,ISBLANK(G143)),"Einheit eintragen (z.B. kg, dt, t, m3, etc.)","")</f>
        <v/>
      </c>
    </row>
    <row r="144" spans="1:19" ht="18.95" customHeight="1">
      <c r="A144" s="1615"/>
      <c r="B144" s="1616"/>
      <c r="C144" s="1617"/>
      <c r="D144" s="1618"/>
      <c r="E144" s="1616"/>
      <c r="F144" s="1617"/>
      <c r="G144" s="1619"/>
      <c r="H144" s="1616"/>
      <c r="I144" s="1617"/>
      <c r="J144" s="1617"/>
      <c r="K144" s="1617"/>
      <c r="L144" s="223">
        <f t="shared" si="24"/>
        <v>0</v>
      </c>
      <c r="M144" s="224">
        <f t="shared" si="25"/>
        <v>0</v>
      </c>
      <c r="N144" s="224">
        <f t="shared" si="26"/>
        <v>0</v>
      </c>
      <c r="O144" s="224">
        <f t="shared" si="27"/>
        <v>0</v>
      </c>
      <c r="P144" s="1613" t="str">
        <f>IF(ISBLANK(F144),"",$P$124-SUM($L$125:L144))</f>
        <v/>
      </c>
      <c r="Q144" s="1614" t="str">
        <f>IF(ISBLANK(F144),"",$Q$124-SUM($M$125:M144))</f>
        <v/>
      </c>
      <c r="R144" s="259"/>
      <c r="S144" s="251" t="str">
        <f>IF(AND(ISBLANK(F144)=FALSE,ISBLANK(G144)),"Einheit eintragen (z.B. kg, dt, t, m3, etc.)","")</f>
        <v/>
      </c>
    </row>
    <row r="145" spans="1:19" ht="18.95" customHeight="1">
      <c r="A145" s="1615"/>
      <c r="B145" s="1616"/>
      <c r="C145" s="1617"/>
      <c r="D145" s="1618"/>
      <c r="E145" s="1616"/>
      <c r="F145" s="1617"/>
      <c r="G145" s="1619"/>
      <c r="H145" s="1616"/>
      <c r="I145" s="1617"/>
      <c r="J145" s="1617"/>
      <c r="K145" s="1617"/>
      <c r="L145" s="223">
        <f t="shared" si="24"/>
        <v>0</v>
      </c>
      <c r="M145" s="224">
        <f t="shared" si="25"/>
        <v>0</v>
      </c>
      <c r="N145" s="224">
        <f t="shared" si="26"/>
        <v>0</v>
      </c>
      <c r="O145" s="224">
        <f t="shared" si="27"/>
        <v>0</v>
      </c>
      <c r="P145" s="1613" t="str">
        <f>IF(ISBLANK(F145),"",$P$124-SUM($L$125:L145))</f>
        <v/>
      </c>
      <c r="Q145" s="1614" t="str">
        <f>IF(ISBLANK(F145),"",$Q$124-SUM($M$125:M145))</f>
        <v/>
      </c>
      <c r="R145" s="259"/>
      <c r="S145" s="251" t="str">
        <f>IF(AND(ISBLANK(F145)=FALSE,ISBLANK(G145)),"Einheit eintragen (z.B. kg, dt, t, m3, etc.)","")</f>
        <v/>
      </c>
    </row>
    <row r="146" spans="1:19" ht="20.100000000000001" customHeight="1">
      <c r="A146" s="962"/>
      <c r="J146" s="206"/>
      <c r="K146" s="207" t="s">
        <v>70</v>
      </c>
      <c r="L146" s="208">
        <f>SUM(L124:L145)</f>
        <v>148.5</v>
      </c>
      <c r="M146" s="209">
        <f>SUM(M124:M145)</f>
        <v>0</v>
      </c>
      <c r="N146" s="209">
        <f>SUM(N124:N145)</f>
        <v>0</v>
      </c>
      <c r="O146" s="210">
        <f>SUM(O124:O145)</f>
        <v>0</v>
      </c>
      <c r="P146" s="211">
        <f>$P$13-L146</f>
        <v>-148.5</v>
      </c>
      <c r="Q146" s="212">
        <f>$Q$13-M146</f>
        <v>0</v>
      </c>
      <c r="R146" s="260"/>
    </row>
    <row r="147" spans="1:19" ht="24.95" customHeight="1">
      <c r="A147" s="962"/>
    </row>
    <row r="148" spans="1:19" ht="21.95" customHeight="1">
      <c r="A148" s="215" t="s">
        <v>71</v>
      </c>
      <c r="E148" s="244" t="str">
        <f>IF(OR(ISBLANK(I$8),ISBLANK(I$9)),"Zeitraum (von-bis) zu oberst eingeben","(Fortsetzung "&amp;DAY(I$8)&amp;"."&amp;MONTH(I$8)&amp;"."&amp;YEAR(I$8)&amp;" - "&amp;DAY(I$9)&amp;"."&amp;MONTH(I$9)&amp;"."&amp;YEAR(I$9)&amp;")")</f>
        <v>Zeitraum (von-bis) zu oberst eingeben</v>
      </c>
      <c r="F148" s="195"/>
      <c r="G148" s="234"/>
      <c r="H148" s="227" t="s">
        <v>30</v>
      </c>
      <c r="I148" s="228" t="str">
        <f>M$8&amp;", "&amp;M$9&amp;", "&amp;M$10</f>
        <v xml:space="preserve">, , </v>
      </c>
      <c r="J148" s="228"/>
      <c r="K148" s="228"/>
      <c r="L148" s="228"/>
      <c r="M148" s="228"/>
      <c r="N148" s="228"/>
      <c r="O148" s="228"/>
      <c r="P148" s="228" t="str">
        <f>"Nr. "&amp;Q$8</f>
        <v xml:space="preserve">Nr. </v>
      </c>
      <c r="Q148" s="226" t="s">
        <v>76</v>
      </c>
      <c r="R148" s="253"/>
    </row>
    <row r="149" spans="1:19" ht="3.95" customHeight="1">
      <c r="A149" s="204"/>
      <c r="D149" s="219"/>
      <c r="H149" s="198"/>
      <c r="I149" s="193"/>
      <c r="P149" s="196"/>
      <c r="Q149" s="196"/>
      <c r="R149" s="258"/>
    </row>
    <row r="150" spans="1:19" ht="30" customHeight="1">
      <c r="A150" s="181" t="s">
        <v>46</v>
      </c>
      <c r="B150" s="182" t="s">
        <v>47</v>
      </c>
      <c r="C150" s="183" t="s">
        <v>48</v>
      </c>
      <c r="D150" s="184" t="s">
        <v>49</v>
      </c>
      <c r="E150" s="182" t="s">
        <v>50</v>
      </c>
      <c r="F150" s="241" t="s">
        <v>51</v>
      </c>
      <c r="G150" s="245" t="s">
        <v>52</v>
      </c>
      <c r="H150" s="222" t="s">
        <v>53</v>
      </c>
      <c r="I150" s="185"/>
      <c r="J150" s="185"/>
      <c r="K150" s="186"/>
      <c r="L150" s="235" t="s">
        <v>55</v>
      </c>
      <c r="M150" s="185"/>
      <c r="N150" s="185"/>
      <c r="O150" s="186"/>
      <c r="P150" s="242" t="s">
        <v>56</v>
      </c>
      <c r="Q150" s="186"/>
      <c r="R150" s="255"/>
    </row>
    <row r="151" spans="1:19" ht="20.100000000000001" customHeight="1">
      <c r="A151" s="187"/>
      <c r="B151" s="188"/>
      <c r="C151" s="189"/>
      <c r="D151" s="218" t="s">
        <v>57</v>
      </c>
      <c r="E151" s="229" t="s">
        <v>58</v>
      </c>
      <c r="F151" s="221" t="s">
        <v>59</v>
      </c>
      <c r="G151" s="246" t="s">
        <v>60</v>
      </c>
      <c r="H151" s="229" t="s">
        <v>61</v>
      </c>
      <c r="I151" s="221" t="s">
        <v>62</v>
      </c>
      <c r="J151" s="221" t="s">
        <v>63</v>
      </c>
      <c r="K151" s="218" t="s">
        <v>64</v>
      </c>
      <c r="L151" s="191" t="s">
        <v>65</v>
      </c>
      <c r="M151" s="191" t="s">
        <v>66</v>
      </c>
      <c r="N151" s="191" t="s">
        <v>67</v>
      </c>
      <c r="O151" s="190" t="s">
        <v>64</v>
      </c>
      <c r="P151" s="249" t="s">
        <v>68</v>
      </c>
      <c r="Q151" s="250" t="s">
        <v>69</v>
      </c>
      <c r="R151" s="256"/>
    </row>
    <row r="152" spans="1:19" ht="20.100000000000001" customHeight="1">
      <c r="A152" s="961"/>
      <c r="B152" s="216"/>
      <c r="C152" s="216"/>
      <c r="D152" s="220"/>
      <c r="E152" s="216"/>
      <c r="F152" s="216"/>
      <c r="G152" s="233"/>
      <c r="H152" s="216"/>
      <c r="I152" s="216"/>
      <c r="J152" s="216"/>
      <c r="K152" s="217" t="s">
        <v>70</v>
      </c>
      <c r="L152" s="208">
        <f t="shared" ref="L152:Q152" si="29">L146</f>
        <v>148.5</v>
      </c>
      <c r="M152" s="209">
        <f t="shared" si="29"/>
        <v>0</v>
      </c>
      <c r="N152" s="209">
        <f t="shared" si="29"/>
        <v>0</v>
      </c>
      <c r="O152" s="209">
        <f t="shared" si="29"/>
        <v>0</v>
      </c>
      <c r="P152" s="211">
        <f t="shared" si="29"/>
        <v>-148.5</v>
      </c>
      <c r="Q152" s="212">
        <f t="shared" si="29"/>
        <v>0</v>
      </c>
      <c r="R152" s="257"/>
    </row>
    <row r="153" spans="1:19" ht="18.95" customHeight="1">
      <c r="A153" s="1615"/>
      <c r="B153" s="1616"/>
      <c r="C153" s="1617"/>
      <c r="D153" s="1618"/>
      <c r="E153" s="1616"/>
      <c r="F153" s="1617"/>
      <c r="G153" s="1619"/>
      <c r="H153" s="1616"/>
      <c r="I153" s="1617"/>
      <c r="J153" s="1617"/>
      <c r="K153" s="1617"/>
      <c r="L153" s="223">
        <f t="shared" ref="L153:L168" si="30">F153*H153</f>
        <v>0</v>
      </c>
      <c r="M153" s="224">
        <f t="shared" ref="M153:M168" si="31">F153*I153</f>
        <v>0</v>
      </c>
      <c r="N153" s="224">
        <f t="shared" ref="N153:N168" si="32">F153*J153</f>
        <v>0</v>
      </c>
      <c r="O153" s="224">
        <f t="shared" ref="O153:O168" si="33">F153*K153</f>
        <v>0</v>
      </c>
      <c r="P153" s="1613" t="str">
        <f>IF(ISBLANK(F153),"",$P$152-SUM($L$153:L153))</f>
        <v/>
      </c>
      <c r="Q153" s="1614" t="str">
        <f>IF(ISBLANK(F153),"",$Q$152-SUM($M$153:M153))</f>
        <v/>
      </c>
      <c r="R153" s="259"/>
      <c r="S153" s="251" t="str">
        <f t="shared" ref="S153:S168" si="34">IF(AND(ISBLANK(F153)=FALSE,ISBLANK(G153)),"Einheit eintragen (z.B. kg, dt, t, m3, etc.)","")</f>
        <v/>
      </c>
    </row>
    <row r="154" spans="1:19" ht="18.95" customHeight="1">
      <c r="A154" s="1615"/>
      <c r="B154" s="1616"/>
      <c r="C154" s="1617"/>
      <c r="D154" s="1618"/>
      <c r="E154" s="1616"/>
      <c r="F154" s="1617"/>
      <c r="G154" s="1619"/>
      <c r="H154" s="1616"/>
      <c r="I154" s="1617"/>
      <c r="J154" s="1617"/>
      <c r="K154" s="1617"/>
      <c r="L154" s="223">
        <f t="shared" si="30"/>
        <v>0</v>
      </c>
      <c r="M154" s="224">
        <f t="shared" si="31"/>
        <v>0</v>
      </c>
      <c r="N154" s="224">
        <f t="shared" si="32"/>
        <v>0</v>
      </c>
      <c r="O154" s="224">
        <f t="shared" si="33"/>
        <v>0</v>
      </c>
      <c r="P154" s="1613" t="str">
        <f>IF(ISBLANK(F154),"",$P$152-SUM($L$153:L154))</f>
        <v/>
      </c>
      <c r="Q154" s="1614" t="str">
        <f>IF(ISBLANK(F154),"",$Q$152-SUM($M$153:M154))</f>
        <v/>
      </c>
      <c r="R154" s="259"/>
      <c r="S154" s="251" t="str">
        <f t="shared" si="34"/>
        <v/>
      </c>
    </row>
    <row r="155" spans="1:19" ht="18.95" customHeight="1">
      <c r="A155" s="1615"/>
      <c r="B155" s="1616"/>
      <c r="C155" s="1617"/>
      <c r="D155" s="1618"/>
      <c r="E155" s="1616"/>
      <c r="F155" s="1617"/>
      <c r="G155" s="1619"/>
      <c r="H155" s="1616"/>
      <c r="I155" s="1617"/>
      <c r="J155" s="1617"/>
      <c r="K155" s="1617"/>
      <c r="L155" s="223">
        <f t="shared" si="30"/>
        <v>0</v>
      </c>
      <c r="M155" s="224">
        <f t="shared" si="31"/>
        <v>0</v>
      </c>
      <c r="N155" s="224">
        <f t="shared" si="32"/>
        <v>0</v>
      </c>
      <c r="O155" s="224">
        <f t="shared" si="33"/>
        <v>0</v>
      </c>
      <c r="P155" s="1613" t="str">
        <f>IF(ISBLANK(F155),"",$P$152-SUM($L$153:L155))</f>
        <v/>
      </c>
      <c r="Q155" s="1614" t="str">
        <f>IF(ISBLANK(F155),"",$Q$152-SUM($M$153:M155))</f>
        <v/>
      </c>
      <c r="R155" s="259"/>
      <c r="S155" s="251" t="str">
        <f t="shared" si="34"/>
        <v/>
      </c>
    </row>
    <row r="156" spans="1:19" ht="18.95" customHeight="1">
      <c r="A156" s="1615"/>
      <c r="B156" s="1616"/>
      <c r="C156" s="1617"/>
      <c r="D156" s="1618"/>
      <c r="E156" s="1616"/>
      <c r="F156" s="1617"/>
      <c r="G156" s="1619"/>
      <c r="H156" s="1616"/>
      <c r="I156" s="1617"/>
      <c r="J156" s="1617"/>
      <c r="K156" s="1617"/>
      <c r="L156" s="223">
        <f t="shared" si="30"/>
        <v>0</v>
      </c>
      <c r="M156" s="224">
        <f t="shared" si="31"/>
        <v>0</v>
      </c>
      <c r="N156" s="224">
        <f t="shared" si="32"/>
        <v>0</v>
      </c>
      <c r="O156" s="224">
        <f t="shared" si="33"/>
        <v>0</v>
      </c>
      <c r="P156" s="1613" t="str">
        <f>IF(ISBLANK(F156),"",$P$152-SUM($L$153:L156))</f>
        <v/>
      </c>
      <c r="Q156" s="1614" t="str">
        <f>IF(ISBLANK(F156),"",$Q$152-SUM($M$153:M156))</f>
        <v/>
      </c>
      <c r="R156" s="259"/>
      <c r="S156" s="251" t="str">
        <f t="shared" si="34"/>
        <v/>
      </c>
    </row>
    <row r="157" spans="1:19" ht="18.95" customHeight="1">
      <c r="A157" s="1615"/>
      <c r="B157" s="1616"/>
      <c r="C157" s="1617"/>
      <c r="D157" s="1618"/>
      <c r="E157" s="1616"/>
      <c r="F157" s="1617"/>
      <c r="G157" s="1619"/>
      <c r="H157" s="1616"/>
      <c r="I157" s="1617"/>
      <c r="J157" s="1617"/>
      <c r="K157" s="1617"/>
      <c r="L157" s="223">
        <f t="shared" si="30"/>
        <v>0</v>
      </c>
      <c r="M157" s="224">
        <f t="shared" si="31"/>
        <v>0</v>
      </c>
      <c r="N157" s="224">
        <f t="shared" si="32"/>
        <v>0</v>
      </c>
      <c r="O157" s="224">
        <f t="shared" si="33"/>
        <v>0</v>
      </c>
      <c r="P157" s="1613" t="str">
        <f>IF(ISBLANK(F157),"",$P$152-SUM($L$153:L157))</f>
        <v/>
      </c>
      <c r="Q157" s="1614" t="str">
        <f>IF(ISBLANK(F157),"",$Q$152-SUM($M$153:M157))</f>
        <v/>
      </c>
      <c r="R157" s="259"/>
      <c r="S157" s="251" t="str">
        <f t="shared" si="34"/>
        <v/>
      </c>
    </row>
    <row r="158" spans="1:19" ht="18.95" customHeight="1">
      <c r="A158" s="1615"/>
      <c r="B158" s="1616"/>
      <c r="C158" s="1617"/>
      <c r="D158" s="1618"/>
      <c r="E158" s="1616"/>
      <c r="F158" s="1617"/>
      <c r="G158" s="1619"/>
      <c r="H158" s="1616"/>
      <c r="I158" s="1617"/>
      <c r="J158" s="1617"/>
      <c r="K158" s="1617"/>
      <c r="L158" s="223">
        <f t="shared" si="30"/>
        <v>0</v>
      </c>
      <c r="M158" s="224">
        <f t="shared" si="31"/>
        <v>0</v>
      </c>
      <c r="N158" s="224">
        <f t="shared" si="32"/>
        <v>0</v>
      </c>
      <c r="O158" s="224">
        <f t="shared" si="33"/>
        <v>0</v>
      </c>
      <c r="P158" s="1613" t="str">
        <f>IF(ISBLANK(F158),"",$P$152-SUM($L$153:L158))</f>
        <v/>
      </c>
      <c r="Q158" s="1614" t="str">
        <f>IF(ISBLANK(F158),"",$Q$152-SUM($M$153:M158))</f>
        <v/>
      </c>
      <c r="R158" s="259"/>
      <c r="S158" s="251" t="str">
        <f t="shared" si="34"/>
        <v/>
      </c>
    </row>
    <row r="159" spans="1:19" ht="18.95" customHeight="1">
      <c r="A159" s="1615"/>
      <c r="B159" s="1616"/>
      <c r="C159" s="1617"/>
      <c r="D159" s="1618"/>
      <c r="E159" s="1616"/>
      <c r="F159" s="1617"/>
      <c r="G159" s="1619"/>
      <c r="H159" s="1616"/>
      <c r="I159" s="1617"/>
      <c r="J159" s="1617"/>
      <c r="K159" s="1617"/>
      <c r="L159" s="223">
        <f t="shared" si="30"/>
        <v>0</v>
      </c>
      <c r="M159" s="224">
        <f t="shared" si="31"/>
        <v>0</v>
      </c>
      <c r="N159" s="224">
        <f t="shared" si="32"/>
        <v>0</v>
      </c>
      <c r="O159" s="224">
        <f t="shared" si="33"/>
        <v>0</v>
      </c>
      <c r="P159" s="1613" t="str">
        <f>IF(ISBLANK(F159),"",$P$152-SUM($L$153:L159))</f>
        <v/>
      </c>
      <c r="Q159" s="1614" t="str">
        <f>IF(ISBLANK(F159),"",$Q$152-SUM($M$153:M159))</f>
        <v/>
      </c>
      <c r="R159" s="259"/>
      <c r="S159" s="251" t="str">
        <f t="shared" si="34"/>
        <v/>
      </c>
    </row>
    <row r="160" spans="1:19" ht="18.95" customHeight="1">
      <c r="A160" s="1615"/>
      <c r="B160" s="1616"/>
      <c r="C160" s="1617"/>
      <c r="D160" s="1618"/>
      <c r="E160" s="1616"/>
      <c r="F160" s="1617"/>
      <c r="G160" s="1619"/>
      <c r="H160" s="1616"/>
      <c r="I160" s="1617"/>
      <c r="J160" s="1617"/>
      <c r="K160" s="1617"/>
      <c r="L160" s="223">
        <f t="shared" si="30"/>
        <v>0</v>
      </c>
      <c r="M160" s="224">
        <f t="shared" si="31"/>
        <v>0</v>
      </c>
      <c r="N160" s="224">
        <f t="shared" si="32"/>
        <v>0</v>
      </c>
      <c r="O160" s="224">
        <f t="shared" si="33"/>
        <v>0</v>
      </c>
      <c r="P160" s="1613" t="str">
        <f>IF(ISBLANK(F160),"",$P$152-SUM($L$153:L160))</f>
        <v/>
      </c>
      <c r="Q160" s="1614" t="str">
        <f>IF(ISBLANK(F160),"",$Q$152-SUM($M$153:M160))</f>
        <v/>
      </c>
      <c r="R160" s="259"/>
      <c r="S160" s="251" t="str">
        <f t="shared" si="34"/>
        <v/>
      </c>
    </row>
    <row r="161" spans="1:19" ht="18.95" customHeight="1">
      <c r="A161" s="1615"/>
      <c r="B161" s="1616"/>
      <c r="C161" s="1617"/>
      <c r="D161" s="1618"/>
      <c r="E161" s="1616"/>
      <c r="F161" s="1617"/>
      <c r="G161" s="1619"/>
      <c r="H161" s="1616"/>
      <c r="I161" s="1617"/>
      <c r="J161" s="1617"/>
      <c r="K161" s="1617"/>
      <c r="L161" s="223">
        <f t="shared" si="30"/>
        <v>0</v>
      </c>
      <c r="M161" s="224">
        <f t="shared" si="31"/>
        <v>0</v>
      </c>
      <c r="N161" s="224">
        <f t="shared" si="32"/>
        <v>0</v>
      </c>
      <c r="O161" s="224">
        <f t="shared" si="33"/>
        <v>0</v>
      </c>
      <c r="P161" s="1613" t="str">
        <f>IF(ISBLANK(F161),"",$P$152-SUM($L$153:L161))</f>
        <v/>
      </c>
      <c r="Q161" s="1614" t="str">
        <f>IF(ISBLANK(F161),"",$Q$152-SUM($M$153:M161))</f>
        <v/>
      </c>
      <c r="R161" s="259"/>
      <c r="S161" s="251" t="str">
        <f t="shared" si="34"/>
        <v/>
      </c>
    </row>
    <row r="162" spans="1:19" ht="18.95" customHeight="1">
      <c r="A162" s="1615"/>
      <c r="B162" s="1616"/>
      <c r="C162" s="1617"/>
      <c r="D162" s="1618"/>
      <c r="E162" s="1616"/>
      <c r="F162" s="1617"/>
      <c r="G162" s="1619"/>
      <c r="H162" s="1616"/>
      <c r="I162" s="1617"/>
      <c r="J162" s="1617"/>
      <c r="K162" s="1617"/>
      <c r="L162" s="223">
        <f t="shared" si="30"/>
        <v>0</v>
      </c>
      <c r="M162" s="224">
        <f t="shared" si="31"/>
        <v>0</v>
      </c>
      <c r="N162" s="224">
        <f t="shared" si="32"/>
        <v>0</v>
      </c>
      <c r="O162" s="224">
        <f t="shared" si="33"/>
        <v>0</v>
      </c>
      <c r="P162" s="1613" t="str">
        <f>IF(ISBLANK(F162),"",$P$152-SUM($L$153:L162))</f>
        <v/>
      </c>
      <c r="Q162" s="1614" t="str">
        <f>IF(ISBLANK(F162),"",$Q$152-SUM($M$153:M162))</f>
        <v/>
      </c>
      <c r="R162" s="259"/>
      <c r="S162" s="251" t="str">
        <f t="shared" si="34"/>
        <v/>
      </c>
    </row>
    <row r="163" spans="1:19" ht="18.95" customHeight="1">
      <c r="A163" s="1615"/>
      <c r="B163" s="1616"/>
      <c r="C163" s="1617"/>
      <c r="D163" s="1618"/>
      <c r="E163" s="1616"/>
      <c r="F163" s="1617"/>
      <c r="G163" s="1619"/>
      <c r="H163" s="1616"/>
      <c r="I163" s="1617"/>
      <c r="J163" s="1617"/>
      <c r="K163" s="1617"/>
      <c r="L163" s="223">
        <f t="shared" si="30"/>
        <v>0</v>
      </c>
      <c r="M163" s="224">
        <f t="shared" si="31"/>
        <v>0</v>
      </c>
      <c r="N163" s="224">
        <f t="shared" si="32"/>
        <v>0</v>
      </c>
      <c r="O163" s="224">
        <f t="shared" si="33"/>
        <v>0</v>
      </c>
      <c r="P163" s="1613" t="str">
        <f>IF(ISBLANK(F163),"",$P$152-SUM($L$153:L163))</f>
        <v/>
      </c>
      <c r="Q163" s="1614" t="str">
        <f>IF(ISBLANK(F163),"",$Q$152-SUM($M$153:M163))</f>
        <v/>
      </c>
      <c r="R163" s="259"/>
      <c r="S163" s="251" t="str">
        <f t="shared" si="34"/>
        <v/>
      </c>
    </row>
    <row r="164" spans="1:19" ht="18.95" customHeight="1">
      <c r="A164" s="1615"/>
      <c r="B164" s="1616"/>
      <c r="C164" s="1617"/>
      <c r="D164" s="1618"/>
      <c r="E164" s="1616"/>
      <c r="F164" s="1617"/>
      <c r="G164" s="1619"/>
      <c r="H164" s="1616"/>
      <c r="I164" s="1617"/>
      <c r="J164" s="1617"/>
      <c r="K164" s="1617"/>
      <c r="L164" s="223">
        <f t="shared" si="30"/>
        <v>0</v>
      </c>
      <c r="M164" s="224">
        <f t="shared" si="31"/>
        <v>0</v>
      </c>
      <c r="N164" s="224">
        <f t="shared" si="32"/>
        <v>0</v>
      </c>
      <c r="O164" s="224">
        <f t="shared" si="33"/>
        <v>0</v>
      </c>
      <c r="P164" s="1613" t="str">
        <f>IF(ISBLANK(F164),"",$P$152-SUM($L$153:L164))</f>
        <v/>
      </c>
      <c r="Q164" s="1614" t="str">
        <f>IF(ISBLANK(F164),"",$Q$152-SUM($M$153:M164))</f>
        <v/>
      </c>
      <c r="R164" s="259"/>
      <c r="S164" s="251" t="str">
        <f t="shared" si="34"/>
        <v/>
      </c>
    </row>
    <row r="165" spans="1:19" ht="18.95" customHeight="1">
      <c r="A165" s="1615"/>
      <c r="B165" s="1616"/>
      <c r="C165" s="1617"/>
      <c r="D165" s="1618"/>
      <c r="E165" s="1616"/>
      <c r="F165" s="1617"/>
      <c r="G165" s="1619"/>
      <c r="H165" s="1616"/>
      <c r="I165" s="1617"/>
      <c r="J165" s="1617"/>
      <c r="K165" s="1617"/>
      <c r="L165" s="223">
        <f t="shared" si="30"/>
        <v>0</v>
      </c>
      <c r="M165" s="224">
        <f t="shared" si="31"/>
        <v>0</v>
      </c>
      <c r="N165" s="224">
        <f t="shared" si="32"/>
        <v>0</v>
      </c>
      <c r="O165" s="224">
        <f t="shared" si="33"/>
        <v>0</v>
      </c>
      <c r="P165" s="1613" t="str">
        <f>IF(ISBLANK(F165),"",$P$152-SUM($L$153:L165))</f>
        <v/>
      </c>
      <c r="Q165" s="1614" t="str">
        <f>IF(ISBLANK(F165),"",$Q$152-SUM($M$153:M165))</f>
        <v/>
      </c>
      <c r="R165" s="259"/>
      <c r="S165" s="251" t="str">
        <f t="shared" si="34"/>
        <v/>
      </c>
    </row>
    <row r="166" spans="1:19" ht="18.95" customHeight="1">
      <c r="A166" s="1615"/>
      <c r="B166" s="1616"/>
      <c r="C166" s="1617"/>
      <c r="D166" s="1618"/>
      <c r="E166" s="1616"/>
      <c r="F166" s="1617"/>
      <c r="G166" s="1619"/>
      <c r="H166" s="1616"/>
      <c r="I166" s="1617"/>
      <c r="J166" s="1617"/>
      <c r="K166" s="1617"/>
      <c r="L166" s="223">
        <f t="shared" si="30"/>
        <v>0</v>
      </c>
      <c r="M166" s="224">
        <f t="shared" si="31"/>
        <v>0</v>
      </c>
      <c r="N166" s="224">
        <f t="shared" si="32"/>
        <v>0</v>
      </c>
      <c r="O166" s="224">
        <f t="shared" si="33"/>
        <v>0</v>
      </c>
      <c r="P166" s="1613" t="str">
        <f>IF(ISBLANK(F166),"",$P$152-SUM($L$153:L166))</f>
        <v/>
      </c>
      <c r="Q166" s="1614" t="str">
        <f>IF(ISBLANK(F166),"",$Q$152-SUM($M$153:M166))</f>
        <v/>
      </c>
      <c r="R166" s="259"/>
      <c r="S166" s="251" t="str">
        <f t="shared" si="34"/>
        <v/>
      </c>
    </row>
    <row r="167" spans="1:19" ht="18.95" customHeight="1">
      <c r="A167" s="1615"/>
      <c r="B167" s="1616"/>
      <c r="C167" s="1617"/>
      <c r="D167" s="1618"/>
      <c r="E167" s="1616"/>
      <c r="F167" s="1617"/>
      <c r="G167" s="1619"/>
      <c r="H167" s="1616"/>
      <c r="I167" s="1617"/>
      <c r="J167" s="1617"/>
      <c r="K167" s="1617"/>
      <c r="L167" s="223">
        <f t="shared" si="30"/>
        <v>0</v>
      </c>
      <c r="M167" s="224">
        <f t="shared" si="31"/>
        <v>0</v>
      </c>
      <c r="N167" s="224">
        <f t="shared" si="32"/>
        <v>0</v>
      </c>
      <c r="O167" s="224">
        <f t="shared" si="33"/>
        <v>0</v>
      </c>
      <c r="P167" s="1613" t="str">
        <f>IF(ISBLANK(F167),"",$P$152-SUM($L$153:L167))</f>
        <v/>
      </c>
      <c r="Q167" s="1614" t="str">
        <f>IF(ISBLANK(F167),"",$Q$152-SUM($M$153:M167))</f>
        <v/>
      </c>
      <c r="R167" s="259"/>
      <c r="S167" s="251" t="str">
        <f t="shared" si="34"/>
        <v/>
      </c>
    </row>
    <row r="168" spans="1:19" ht="18.95" customHeight="1">
      <c r="A168" s="1615"/>
      <c r="B168" s="1616"/>
      <c r="C168" s="1617"/>
      <c r="D168" s="1618"/>
      <c r="E168" s="1616"/>
      <c r="F168" s="1617"/>
      <c r="G168" s="1619"/>
      <c r="H168" s="1616"/>
      <c r="I168" s="1617"/>
      <c r="J168" s="1617"/>
      <c r="K168" s="1617"/>
      <c r="L168" s="223">
        <f t="shared" si="30"/>
        <v>0</v>
      </c>
      <c r="M168" s="224">
        <f t="shared" si="31"/>
        <v>0</v>
      </c>
      <c r="N168" s="224">
        <f t="shared" si="32"/>
        <v>0</v>
      </c>
      <c r="O168" s="224">
        <f t="shared" si="33"/>
        <v>0</v>
      </c>
      <c r="P168" s="1613" t="str">
        <f>IF(ISBLANK(F168),"",$P$152-SUM($L$153:L168))</f>
        <v/>
      </c>
      <c r="Q168" s="1614" t="str">
        <f>IF(ISBLANK(F168),"",$Q$152-SUM($M$153:M168))</f>
        <v/>
      </c>
      <c r="R168" s="259"/>
      <c r="S168" s="251" t="str">
        <f t="shared" si="34"/>
        <v/>
      </c>
    </row>
    <row r="169" spans="1:19" ht="18.95" customHeight="1">
      <c r="A169" s="1615"/>
      <c r="B169" s="1616"/>
      <c r="C169" s="1617"/>
      <c r="D169" s="1618"/>
      <c r="E169" s="1616"/>
      <c r="F169" s="1617"/>
      <c r="G169" s="1619"/>
      <c r="H169" s="1616"/>
      <c r="I169" s="1617"/>
      <c r="J169" s="1617"/>
      <c r="K169" s="1617"/>
      <c r="L169" s="223">
        <f>F169*H169</f>
        <v>0</v>
      </c>
      <c r="M169" s="224">
        <f>F169*I169</f>
        <v>0</v>
      </c>
      <c r="N169" s="224">
        <f>F169*J169</f>
        <v>0</v>
      </c>
      <c r="O169" s="224">
        <f>F169*K169</f>
        <v>0</v>
      </c>
      <c r="P169" s="1613" t="str">
        <f>IF(ISBLANK(F169),"",$P$152-SUM($L$153:L169))</f>
        <v/>
      </c>
      <c r="Q169" s="1614" t="str">
        <f>IF(ISBLANK(F169),"",$Q$152-SUM($M$153:M169))</f>
        <v/>
      </c>
      <c r="R169" s="259"/>
      <c r="S169" s="251" t="str">
        <f>IF(AND(ISBLANK(F169)=FALSE,ISBLANK(G169)),"Einheit eintragen (z.B. kg, dt, t, m3, etc.)","")</f>
        <v/>
      </c>
    </row>
    <row r="170" spans="1:19" ht="18.95" customHeight="1">
      <c r="A170" s="1615"/>
      <c r="B170" s="1616"/>
      <c r="C170" s="1617"/>
      <c r="D170" s="1618"/>
      <c r="E170" s="1616"/>
      <c r="F170" s="1617"/>
      <c r="G170" s="1619"/>
      <c r="H170" s="1616"/>
      <c r="I170" s="1617"/>
      <c r="J170" s="1617"/>
      <c r="K170" s="1617"/>
      <c r="L170" s="223">
        <f>F170*H170</f>
        <v>0</v>
      </c>
      <c r="M170" s="224">
        <f>F170*I170</f>
        <v>0</v>
      </c>
      <c r="N170" s="224">
        <f>F170*J170</f>
        <v>0</v>
      </c>
      <c r="O170" s="224">
        <f>F170*K170</f>
        <v>0</v>
      </c>
      <c r="P170" s="1613" t="str">
        <f>IF(ISBLANK(F170),"",$P$152-SUM($L$153:L170))</f>
        <v/>
      </c>
      <c r="Q170" s="1614" t="str">
        <f>IF(ISBLANK(F170),"",$Q$152-SUM($M$153:M170))</f>
        <v/>
      </c>
      <c r="R170" s="259"/>
      <c r="S170" s="251" t="str">
        <f>IF(AND(ISBLANK(F170)=FALSE,ISBLANK(G170)),"Einheit eintragen (z.B. kg, dt, t, m3, etc.)","")</f>
        <v/>
      </c>
    </row>
    <row r="171" spans="1:19" ht="18.95" customHeight="1">
      <c r="A171" s="1615"/>
      <c r="B171" s="1616"/>
      <c r="C171" s="1617"/>
      <c r="D171" s="1618"/>
      <c r="E171" s="1616"/>
      <c r="F171" s="1617"/>
      <c r="G171" s="1619"/>
      <c r="H171" s="1616"/>
      <c r="I171" s="1617"/>
      <c r="J171" s="1617"/>
      <c r="K171" s="1617"/>
      <c r="L171" s="223">
        <f>F171*H171</f>
        <v>0</v>
      </c>
      <c r="M171" s="224">
        <f>F171*I171</f>
        <v>0</v>
      </c>
      <c r="N171" s="224">
        <f>F171*J171</f>
        <v>0</v>
      </c>
      <c r="O171" s="224">
        <f>F171*K171</f>
        <v>0</v>
      </c>
      <c r="P171" s="1613" t="str">
        <f>IF(ISBLANK(F171),"",$P$152-SUM($L$153:L171))</f>
        <v/>
      </c>
      <c r="Q171" s="1614" t="str">
        <f>IF(ISBLANK(F171),"",$Q$152-SUM($M$153:M171))</f>
        <v/>
      </c>
      <c r="R171" s="259"/>
      <c r="S171" s="251" t="str">
        <f>IF(AND(ISBLANK(F171)=FALSE,ISBLANK(G171)),"Einheit eintragen (z.B. kg, dt, t, m3, etc.)","")</f>
        <v/>
      </c>
    </row>
    <row r="172" spans="1:19" ht="18.95" customHeight="1">
      <c r="A172" s="1615"/>
      <c r="B172" s="1616"/>
      <c r="C172" s="1617"/>
      <c r="D172" s="1618"/>
      <c r="E172" s="1616"/>
      <c r="F172" s="1617"/>
      <c r="G172" s="1619"/>
      <c r="H172" s="1616"/>
      <c r="I172" s="1617"/>
      <c r="J172" s="1617"/>
      <c r="K172" s="1617"/>
      <c r="L172" s="223">
        <f>F172*H172</f>
        <v>0</v>
      </c>
      <c r="M172" s="224">
        <f>F172*I172</f>
        <v>0</v>
      </c>
      <c r="N172" s="224">
        <f>F172*J172</f>
        <v>0</v>
      </c>
      <c r="O172" s="224">
        <f>F172*K172</f>
        <v>0</v>
      </c>
      <c r="P172" s="1613" t="str">
        <f>IF(ISBLANK(F172),"",$P$152-SUM($L$153:L172))</f>
        <v/>
      </c>
      <c r="Q172" s="1614" t="str">
        <f>IF(ISBLANK(F172),"",$Q$152-SUM($M$153:M172))</f>
        <v/>
      </c>
      <c r="R172" s="259"/>
      <c r="S172" s="251" t="str">
        <f>IF(AND(ISBLANK(F172)=FALSE,ISBLANK(G172)),"Einheit eintragen (z.B. kg, dt, t, m3, etc.)","")</f>
        <v/>
      </c>
    </row>
    <row r="173" spans="1:19" ht="18.95" customHeight="1">
      <c r="A173" s="1615"/>
      <c r="B173" s="1616"/>
      <c r="C173" s="1617"/>
      <c r="D173" s="1618"/>
      <c r="E173" s="1616"/>
      <c r="F173" s="1617"/>
      <c r="G173" s="1619"/>
      <c r="H173" s="1616"/>
      <c r="I173" s="1617"/>
      <c r="J173" s="1617"/>
      <c r="K173" s="1617"/>
      <c r="L173" s="223">
        <f>F173*H173</f>
        <v>0</v>
      </c>
      <c r="M173" s="224">
        <f>F173*I173</f>
        <v>0</v>
      </c>
      <c r="N173" s="224">
        <f>F173*J173</f>
        <v>0</v>
      </c>
      <c r="O173" s="224">
        <f>F173*K173</f>
        <v>0</v>
      </c>
      <c r="P173" s="1613" t="str">
        <f>IF(ISBLANK(F173),"",$P$152-SUM($L$153:L173))</f>
        <v/>
      </c>
      <c r="Q173" s="1614" t="str">
        <f>IF(ISBLANK(F173),"",$Q$152-SUM($M$153:M173))</f>
        <v/>
      </c>
      <c r="R173" s="259"/>
      <c r="S173" s="251" t="str">
        <f>IF(AND(ISBLANK(F173)=FALSE,ISBLANK(G173)),"Einheit eintragen (z.B. kg, dt, t, m3, etc.)","")</f>
        <v/>
      </c>
    </row>
    <row r="174" spans="1:19" ht="20.100000000000001" customHeight="1">
      <c r="A174" s="962"/>
      <c r="J174" s="206"/>
      <c r="K174" s="207" t="s">
        <v>70</v>
      </c>
      <c r="L174" s="208">
        <f>SUM(L152:L173)</f>
        <v>148.5</v>
      </c>
      <c r="M174" s="209">
        <f>SUM(M152:M173)</f>
        <v>0</v>
      </c>
      <c r="N174" s="209">
        <f>SUM(N152:N173)</f>
        <v>0</v>
      </c>
      <c r="O174" s="210">
        <f>SUM(O152:O173)</f>
        <v>0</v>
      </c>
      <c r="P174" s="211">
        <f>$P$13-L174</f>
        <v>-148.5</v>
      </c>
      <c r="Q174" s="212">
        <f>$Q$13-M174</f>
        <v>0</v>
      </c>
      <c r="R174" s="260"/>
    </row>
    <row r="175" spans="1:19" ht="24.95" customHeight="1">
      <c r="A175" s="962"/>
    </row>
    <row r="176" spans="1:19" ht="21.95" customHeight="1">
      <c r="A176" s="215" t="s">
        <v>71</v>
      </c>
      <c r="E176" s="244" t="str">
        <f>IF(OR(ISBLANK(I$8),ISBLANK(I$9)),"Zeitraum (von-bis) zu oberst eingeben","(Fortsetzung "&amp;DAY(I$8)&amp;"."&amp;MONTH(I$8)&amp;"."&amp;YEAR(I$8)&amp;" - "&amp;DAY(I$9)&amp;"."&amp;MONTH(I$9)&amp;"."&amp;YEAR(I$9)&amp;")")</f>
        <v>Zeitraum (von-bis) zu oberst eingeben</v>
      </c>
      <c r="F176" s="195"/>
      <c r="G176" s="234"/>
      <c r="H176" s="227" t="s">
        <v>30</v>
      </c>
      <c r="I176" s="228" t="str">
        <f>M$8&amp;", "&amp;M$9&amp;", "&amp;M$10</f>
        <v xml:space="preserve">, , </v>
      </c>
      <c r="J176" s="228"/>
      <c r="K176" s="228"/>
      <c r="L176" s="228"/>
      <c r="M176" s="228"/>
      <c r="N176" s="228"/>
      <c r="O176" s="228"/>
      <c r="P176" s="228" t="str">
        <f>"Nr. "&amp;Q$8</f>
        <v xml:space="preserve">Nr. </v>
      </c>
      <c r="Q176" s="226" t="s">
        <v>77</v>
      </c>
      <c r="R176" s="253"/>
    </row>
    <row r="177" spans="1:19" ht="3.95" customHeight="1">
      <c r="A177" s="204"/>
      <c r="D177" s="219"/>
      <c r="H177" s="198"/>
      <c r="I177" s="193"/>
      <c r="P177" s="196"/>
      <c r="Q177" s="196"/>
      <c r="R177" s="258"/>
    </row>
    <row r="178" spans="1:19" ht="30" customHeight="1">
      <c r="A178" s="181" t="s">
        <v>46</v>
      </c>
      <c r="B178" s="182" t="s">
        <v>47</v>
      </c>
      <c r="C178" s="183" t="s">
        <v>48</v>
      </c>
      <c r="D178" s="184" t="s">
        <v>49</v>
      </c>
      <c r="E178" s="182" t="s">
        <v>50</v>
      </c>
      <c r="F178" s="241" t="s">
        <v>51</v>
      </c>
      <c r="G178" s="245" t="s">
        <v>52</v>
      </c>
      <c r="H178" s="222" t="s">
        <v>53</v>
      </c>
      <c r="I178" s="185"/>
      <c r="J178" s="185"/>
      <c r="K178" s="186"/>
      <c r="L178" s="235" t="s">
        <v>55</v>
      </c>
      <c r="M178" s="185"/>
      <c r="N178" s="185"/>
      <c r="O178" s="186"/>
      <c r="P178" s="242" t="s">
        <v>56</v>
      </c>
      <c r="Q178" s="186"/>
      <c r="R178" s="255"/>
    </row>
    <row r="179" spans="1:19" ht="20.100000000000001" customHeight="1">
      <c r="A179" s="187"/>
      <c r="B179" s="188"/>
      <c r="C179" s="189"/>
      <c r="D179" s="218" t="s">
        <v>57</v>
      </c>
      <c r="E179" s="229" t="s">
        <v>58</v>
      </c>
      <c r="F179" s="221" t="s">
        <v>59</v>
      </c>
      <c r="G179" s="246" t="s">
        <v>60</v>
      </c>
      <c r="H179" s="229" t="s">
        <v>61</v>
      </c>
      <c r="I179" s="221" t="s">
        <v>62</v>
      </c>
      <c r="J179" s="221" t="s">
        <v>63</v>
      </c>
      <c r="K179" s="218" t="s">
        <v>64</v>
      </c>
      <c r="L179" s="191" t="s">
        <v>65</v>
      </c>
      <c r="M179" s="191" t="s">
        <v>66</v>
      </c>
      <c r="N179" s="191" t="s">
        <v>67</v>
      </c>
      <c r="O179" s="190" t="s">
        <v>64</v>
      </c>
      <c r="P179" s="249" t="s">
        <v>68</v>
      </c>
      <c r="Q179" s="250" t="s">
        <v>69</v>
      </c>
      <c r="R179" s="256"/>
    </row>
    <row r="180" spans="1:19" ht="20.100000000000001" customHeight="1">
      <c r="A180" s="961"/>
      <c r="B180" s="216"/>
      <c r="C180" s="216"/>
      <c r="D180" s="220"/>
      <c r="E180" s="216"/>
      <c r="F180" s="216"/>
      <c r="G180" s="233"/>
      <c r="H180" s="216"/>
      <c r="I180" s="216"/>
      <c r="J180" s="216"/>
      <c r="K180" s="217" t="s">
        <v>70</v>
      </c>
      <c r="L180" s="208">
        <f t="shared" ref="L180:Q180" si="35">L174</f>
        <v>148.5</v>
      </c>
      <c r="M180" s="209">
        <f t="shared" si="35"/>
        <v>0</v>
      </c>
      <c r="N180" s="209">
        <f t="shared" si="35"/>
        <v>0</v>
      </c>
      <c r="O180" s="209">
        <f t="shared" si="35"/>
        <v>0</v>
      </c>
      <c r="P180" s="211">
        <f t="shared" si="35"/>
        <v>-148.5</v>
      </c>
      <c r="Q180" s="212">
        <f t="shared" si="35"/>
        <v>0</v>
      </c>
      <c r="R180" s="257"/>
    </row>
    <row r="181" spans="1:19" ht="18.95" customHeight="1">
      <c r="A181" s="1615"/>
      <c r="B181" s="1616"/>
      <c r="C181" s="1617"/>
      <c r="D181" s="1618"/>
      <c r="E181" s="1616"/>
      <c r="F181" s="1617"/>
      <c r="G181" s="1619"/>
      <c r="H181" s="1616"/>
      <c r="I181" s="1617"/>
      <c r="J181" s="1617"/>
      <c r="K181" s="1617"/>
      <c r="L181" s="223">
        <f t="shared" ref="L181:L196" si="36">F181*H181</f>
        <v>0</v>
      </c>
      <c r="M181" s="224">
        <f t="shared" ref="M181:M196" si="37">F181*I181</f>
        <v>0</v>
      </c>
      <c r="N181" s="224">
        <f t="shared" ref="N181:N196" si="38">F181*J181</f>
        <v>0</v>
      </c>
      <c r="O181" s="224">
        <f t="shared" ref="O181:O196" si="39">F181*K181</f>
        <v>0</v>
      </c>
      <c r="P181" s="1613" t="str">
        <f>IF(ISBLANK(F181),"",$P$180-SUM($L$181:L181))</f>
        <v/>
      </c>
      <c r="Q181" s="1614" t="str">
        <f>IF(ISBLANK(F181),"",$Q$180-SUM($M$181:M181))</f>
        <v/>
      </c>
      <c r="R181" s="259"/>
      <c r="S181" s="251" t="str">
        <f t="shared" ref="S181:S196" si="40">IF(AND(ISBLANK(F181)=FALSE,ISBLANK(G181)),"Einheit eintragen (z.B. kg, dt, t, m3, etc.)","")</f>
        <v/>
      </c>
    </row>
    <row r="182" spans="1:19" ht="18.95" customHeight="1">
      <c r="A182" s="1615"/>
      <c r="B182" s="1616"/>
      <c r="C182" s="1617"/>
      <c r="D182" s="1618"/>
      <c r="E182" s="1616"/>
      <c r="F182" s="1617"/>
      <c r="G182" s="1619"/>
      <c r="H182" s="1616"/>
      <c r="I182" s="1617"/>
      <c r="J182" s="1617"/>
      <c r="K182" s="1617"/>
      <c r="L182" s="223">
        <f t="shared" si="36"/>
        <v>0</v>
      </c>
      <c r="M182" s="224">
        <f t="shared" si="37"/>
        <v>0</v>
      </c>
      <c r="N182" s="224">
        <f t="shared" si="38"/>
        <v>0</v>
      </c>
      <c r="O182" s="224">
        <f t="shared" si="39"/>
        <v>0</v>
      </c>
      <c r="P182" s="1613" t="str">
        <f>IF(ISBLANK(F182),"",$P$180-SUM($L$181:L182))</f>
        <v/>
      </c>
      <c r="Q182" s="1614" t="str">
        <f>IF(ISBLANK(F182),"",$Q$180-SUM($M$181:M182))</f>
        <v/>
      </c>
      <c r="R182" s="259"/>
      <c r="S182" s="251" t="str">
        <f t="shared" si="40"/>
        <v/>
      </c>
    </row>
    <row r="183" spans="1:19" ht="18.95" customHeight="1">
      <c r="A183" s="1615"/>
      <c r="B183" s="1616"/>
      <c r="C183" s="1617"/>
      <c r="D183" s="1618"/>
      <c r="E183" s="1616"/>
      <c r="F183" s="1617"/>
      <c r="G183" s="1619"/>
      <c r="H183" s="1616"/>
      <c r="I183" s="1617"/>
      <c r="J183" s="1617"/>
      <c r="K183" s="1617"/>
      <c r="L183" s="223">
        <f t="shared" si="36"/>
        <v>0</v>
      </c>
      <c r="M183" s="224">
        <f t="shared" si="37"/>
        <v>0</v>
      </c>
      <c r="N183" s="224">
        <f t="shared" si="38"/>
        <v>0</v>
      </c>
      <c r="O183" s="224">
        <f t="shared" si="39"/>
        <v>0</v>
      </c>
      <c r="P183" s="1613" t="str">
        <f>IF(ISBLANK(F183),"",$P$180-SUM($L$181:L183))</f>
        <v/>
      </c>
      <c r="Q183" s="1614" t="str">
        <f>IF(ISBLANK(F183),"",$Q$180-SUM($M$181:M183))</f>
        <v/>
      </c>
      <c r="R183" s="259"/>
      <c r="S183" s="251" t="str">
        <f t="shared" si="40"/>
        <v/>
      </c>
    </row>
    <row r="184" spans="1:19" ht="18.95" customHeight="1">
      <c r="A184" s="1615"/>
      <c r="B184" s="1616"/>
      <c r="C184" s="1617"/>
      <c r="D184" s="1618"/>
      <c r="E184" s="1616"/>
      <c r="F184" s="1617"/>
      <c r="G184" s="1619"/>
      <c r="H184" s="1616"/>
      <c r="I184" s="1617"/>
      <c r="J184" s="1617"/>
      <c r="K184" s="1617"/>
      <c r="L184" s="223">
        <f t="shared" si="36"/>
        <v>0</v>
      </c>
      <c r="M184" s="224">
        <f t="shared" si="37"/>
        <v>0</v>
      </c>
      <c r="N184" s="224">
        <f t="shared" si="38"/>
        <v>0</v>
      </c>
      <c r="O184" s="224">
        <f t="shared" si="39"/>
        <v>0</v>
      </c>
      <c r="P184" s="1613" t="str">
        <f>IF(ISBLANK(F184),"",$P$180-SUM($L$181:L184))</f>
        <v/>
      </c>
      <c r="Q184" s="1614" t="str">
        <f>IF(ISBLANK(F184),"",$Q$180-SUM($M$181:M184))</f>
        <v/>
      </c>
      <c r="R184" s="259"/>
      <c r="S184" s="251" t="str">
        <f t="shared" si="40"/>
        <v/>
      </c>
    </row>
    <row r="185" spans="1:19" ht="18.95" customHeight="1">
      <c r="A185" s="1615"/>
      <c r="B185" s="1616"/>
      <c r="C185" s="1617"/>
      <c r="D185" s="1618"/>
      <c r="E185" s="1616"/>
      <c r="F185" s="1617"/>
      <c r="G185" s="1619"/>
      <c r="H185" s="1616"/>
      <c r="I185" s="1617"/>
      <c r="J185" s="1617"/>
      <c r="K185" s="1617"/>
      <c r="L185" s="223">
        <f t="shared" si="36"/>
        <v>0</v>
      </c>
      <c r="M185" s="224">
        <f t="shared" si="37"/>
        <v>0</v>
      </c>
      <c r="N185" s="224">
        <f t="shared" si="38"/>
        <v>0</v>
      </c>
      <c r="O185" s="224">
        <f t="shared" si="39"/>
        <v>0</v>
      </c>
      <c r="P185" s="1613" t="str">
        <f>IF(ISBLANK(F185),"",$P$180-SUM($L$181:L185))</f>
        <v/>
      </c>
      <c r="Q185" s="1614" t="str">
        <f>IF(ISBLANK(F185),"",$Q$180-SUM($M$181:M185))</f>
        <v/>
      </c>
      <c r="R185" s="259"/>
      <c r="S185" s="251" t="str">
        <f t="shared" si="40"/>
        <v/>
      </c>
    </row>
    <row r="186" spans="1:19" ht="18.95" customHeight="1">
      <c r="A186" s="1615"/>
      <c r="B186" s="1616"/>
      <c r="C186" s="1617"/>
      <c r="D186" s="1618"/>
      <c r="E186" s="1616"/>
      <c r="F186" s="1617"/>
      <c r="G186" s="1619"/>
      <c r="H186" s="1616"/>
      <c r="I186" s="1617"/>
      <c r="J186" s="1617"/>
      <c r="K186" s="1617"/>
      <c r="L186" s="223">
        <f t="shared" si="36"/>
        <v>0</v>
      </c>
      <c r="M186" s="224">
        <f t="shared" si="37"/>
        <v>0</v>
      </c>
      <c r="N186" s="224">
        <f t="shared" si="38"/>
        <v>0</v>
      </c>
      <c r="O186" s="224">
        <f t="shared" si="39"/>
        <v>0</v>
      </c>
      <c r="P186" s="1613" t="str">
        <f>IF(ISBLANK(F186),"",$P$180-SUM($L$181:L186))</f>
        <v/>
      </c>
      <c r="Q186" s="1614" t="str">
        <f>IF(ISBLANK(F186),"",$Q$180-SUM($M$181:M186))</f>
        <v/>
      </c>
      <c r="R186" s="259"/>
      <c r="S186" s="251" t="str">
        <f t="shared" si="40"/>
        <v/>
      </c>
    </row>
    <row r="187" spans="1:19" ht="18.95" customHeight="1">
      <c r="A187" s="1615"/>
      <c r="B187" s="1616"/>
      <c r="C187" s="1617"/>
      <c r="D187" s="1618"/>
      <c r="E187" s="1616"/>
      <c r="F187" s="1617"/>
      <c r="G187" s="1619"/>
      <c r="H187" s="1616"/>
      <c r="I187" s="1617"/>
      <c r="J187" s="1617"/>
      <c r="K187" s="1617"/>
      <c r="L187" s="223">
        <f t="shared" si="36"/>
        <v>0</v>
      </c>
      <c r="M187" s="224">
        <f t="shared" si="37"/>
        <v>0</v>
      </c>
      <c r="N187" s="224">
        <f t="shared" si="38"/>
        <v>0</v>
      </c>
      <c r="O187" s="224">
        <f t="shared" si="39"/>
        <v>0</v>
      </c>
      <c r="P187" s="1613" t="str">
        <f>IF(ISBLANK(F187),"",$P$180-SUM($L$181:L187))</f>
        <v/>
      </c>
      <c r="Q187" s="1614" t="str">
        <f>IF(ISBLANK(F187),"",$Q$180-SUM($M$181:M187))</f>
        <v/>
      </c>
      <c r="R187" s="259"/>
      <c r="S187" s="251" t="str">
        <f t="shared" si="40"/>
        <v/>
      </c>
    </row>
    <row r="188" spans="1:19" ht="18.95" customHeight="1">
      <c r="A188" s="1615"/>
      <c r="B188" s="1616"/>
      <c r="C188" s="1617"/>
      <c r="D188" s="1618"/>
      <c r="E188" s="1616"/>
      <c r="F188" s="1617"/>
      <c r="G188" s="1619"/>
      <c r="H188" s="1616"/>
      <c r="I188" s="1617"/>
      <c r="J188" s="1617"/>
      <c r="K188" s="1617"/>
      <c r="L188" s="223">
        <f t="shared" si="36"/>
        <v>0</v>
      </c>
      <c r="M188" s="224">
        <f t="shared" si="37"/>
        <v>0</v>
      </c>
      <c r="N188" s="224">
        <f t="shared" si="38"/>
        <v>0</v>
      </c>
      <c r="O188" s="224">
        <f t="shared" si="39"/>
        <v>0</v>
      </c>
      <c r="P188" s="1613" t="str">
        <f>IF(ISBLANK(F188),"",$P$180-SUM($L$181:L188))</f>
        <v/>
      </c>
      <c r="Q188" s="1614" t="str">
        <f>IF(ISBLANK(F188),"",$Q$180-SUM($M$181:M188))</f>
        <v/>
      </c>
      <c r="R188" s="259"/>
      <c r="S188" s="251" t="str">
        <f t="shared" si="40"/>
        <v/>
      </c>
    </row>
    <row r="189" spans="1:19" ht="18.95" customHeight="1">
      <c r="A189" s="1615"/>
      <c r="B189" s="1616"/>
      <c r="C189" s="1617"/>
      <c r="D189" s="1618"/>
      <c r="E189" s="1616"/>
      <c r="F189" s="1617"/>
      <c r="G189" s="1619"/>
      <c r="H189" s="1616"/>
      <c r="I189" s="1617"/>
      <c r="J189" s="1617"/>
      <c r="K189" s="1617"/>
      <c r="L189" s="223">
        <f t="shared" si="36"/>
        <v>0</v>
      </c>
      <c r="M189" s="224">
        <f t="shared" si="37"/>
        <v>0</v>
      </c>
      <c r="N189" s="224">
        <f t="shared" si="38"/>
        <v>0</v>
      </c>
      <c r="O189" s="224">
        <f t="shared" si="39"/>
        <v>0</v>
      </c>
      <c r="P189" s="1613" t="str">
        <f>IF(ISBLANK(F189),"",$P$180-SUM($L$181:L189))</f>
        <v/>
      </c>
      <c r="Q189" s="1614" t="str">
        <f>IF(ISBLANK(F189),"",$Q$180-SUM($M$181:M189))</f>
        <v/>
      </c>
      <c r="R189" s="259"/>
      <c r="S189" s="251" t="str">
        <f t="shared" si="40"/>
        <v/>
      </c>
    </row>
    <row r="190" spans="1:19" ht="18.95" customHeight="1">
      <c r="A190" s="1615"/>
      <c r="B190" s="1616"/>
      <c r="C190" s="1617"/>
      <c r="D190" s="1618"/>
      <c r="E190" s="1616"/>
      <c r="F190" s="1617"/>
      <c r="G190" s="1619"/>
      <c r="H190" s="1616"/>
      <c r="I190" s="1617"/>
      <c r="J190" s="1617"/>
      <c r="K190" s="1617"/>
      <c r="L190" s="223">
        <f t="shared" si="36"/>
        <v>0</v>
      </c>
      <c r="M190" s="224">
        <f t="shared" si="37"/>
        <v>0</v>
      </c>
      <c r="N190" s="224">
        <f t="shared" si="38"/>
        <v>0</v>
      </c>
      <c r="O190" s="224">
        <f t="shared" si="39"/>
        <v>0</v>
      </c>
      <c r="P190" s="1613" t="str">
        <f>IF(ISBLANK(F190),"",$P$180-SUM($L$181:L190))</f>
        <v/>
      </c>
      <c r="Q190" s="1614" t="str">
        <f>IF(ISBLANK(F190),"",$Q$180-SUM($M$181:M190))</f>
        <v/>
      </c>
      <c r="R190" s="259"/>
      <c r="S190" s="251" t="str">
        <f t="shared" si="40"/>
        <v/>
      </c>
    </row>
    <row r="191" spans="1:19" ht="18.95" customHeight="1">
      <c r="A191" s="1615"/>
      <c r="B191" s="1616"/>
      <c r="C191" s="1617"/>
      <c r="D191" s="1618"/>
      <c r="E191" s="1616"/>
      <c r="F191" s="1617"/>
      <c r="G191" s="1619"/>
      <c r="H191" s="1616"/>
      <c r="I191" s="1617"/>
      <c r="J191" s="1617"/>
      <c r="K191" s="1617"/>
      <c r="L191" s="223">
        <f t="shared" si="36"/>
        <v>0</v>
      </c>
      <c r="M191" s="224">
        <f t="shared" si="37"/>
        <v>0</v>
      </c>
      <c r="N191" s="224">
        <f t="shared" si="38"/>
        <v>0</v>
      </c>
      <c r="O191" s="224">
        <f t="shared" si="39"/>
        <v>0</v>
      </c>
      <c r="P191" s="1613" t="str">
        <f>IF(ISBLANK(F191),"",$P$180-SUM($L$181:L191))</f>
        <v/>
      </c>
      <c r="Q191" s="1614" t="str">
        <f>IF(ISBLANK(F191),"",$Q$180-SUM($M$181:M191))</f>
        <v/>
      </c>
      <c r="R191" s="259"/>
      <c r="S191" s="251" t="str">
        <f t="shared" si="40"/>
        <v/>
      </c>
    </row>
    <row r="192" spans="1:19" ht="18.95" customHeight="1">
      <c r="A192" s="1615"/>
      <c r="B192" s="1616"/>
      <c r="C192" s="1617"/>
      <c r="D192" s="1618"/>
      <c r="E192" s="1616"/>
      <c r="F192" s="1617"/>
      <c r="G192" s="1619"/>
      <c r="H192" s="1616"/>
      <c r="I192" s="1617"/>
      <c r="J192" s="1617"/>
      <c r="K192" s="1617"/>
      <c r="L192" s="223">
        <f t="shared" si="36"/>
        <v>0</v>
      </c>
      <c r="M192" s="224">
        <f t="shared" si="37"/>
        <v>0</v>
      </c>
      <c r="N192" s="224">
        <f t="shared" si="38"/>
        <v>0</v>
      </c>
      <c r="O192" s="224">
        <f t="shared" si="39"/>
        <v>0</v>
      </c>
      <c r="P192" s="1613" t="str">
        <f>IF(ISBLANK(F192),"",$P$180-SUM($L$181:L192))</f>
        <v/>
      </c>
      <c r="Q192" s="1614" t="str">
        <f>IF(ISBLANK(F192),"",$Q$180-SUM($M$181:M192))</f>
        <v/>
      </c>
      <c r="R192" s="259"/>
      <c r="S192" s="251" t="str">
        <f t="shared" si="40"/>
        <v/>
      </c>
    </row>
    <row r="193" spans="1:19" ht="18.95" customHeight="1">
      <c r="A193" s="1615"/>
      <c r="B193" s="1616"/>
      <c r="C193" s="1617"/>
      <c r="D193" s="1618"/>
      <c r="E193" s="1616"/>
      <c r="F193" s="1617"/>
      <c r="G193" s="1619"/>
      <c r="H193" s="1616"/>
      <c r="I193" s="1617"/>
      <c r="J193" s="1617"/>
      <c r="K193" s="1617"/>
      <c r="L193" s="223">
        <f t="shared" si="36"/>
        <v>0</v>
      </c>
      <c r="M193" s="224">
        <f t="shared" si="37"/>
        <v>0</v>
      </c>
      <c r="N193" s="224">
        <f t="shared" si="38"/>
        <v>0</v>
      </c>
      <c r="O193" s="224">
        <f t="shared" si="39"/>
        <v>0</v>
      </c>
      <c r="P193" s="1613" t="str">
        <f>IF(ISBLANK(F193),"",$P$180-SUM($L$181:L193))</f>
        <v/>
      </c>
      <c r="Q193" s="1614" t="str">
        <f>IF(ISBLANK(F193),"",$Q$180-SUM($M$181:M193))</f>
        <v/>
      </c>
      <c r="R193" s="259"/>
      <c r="S193" s="251" t="str">
        <f t="shared" si="40"/>
        <v/>
      </c>
    </row>
    <row r="194" spans="1:19" ht="18.95" customHeight="1">
      <c r="A194" s="1615"/>
      <c r="B194" s="1616"/>
      <c r="C194" s="1617"/>
      <c r="D194" s="1618"/>
      <c r="E194" s="1616"/>
      <c r="F194" s="1617"/>
      <c r="G194" s="1619"/>
      <c r="H194" s="1616"/>
      <c r="I194" s="1617"/>
      <c r="J194" s="1617"/>
      <c r="K194" s="1617"/>
      <c r="L194" s="223">
        <f t="shared" si="36"/>
        <v>0</v>
      </c>
      <c r="M194" s="224">
        <f t="shared" si="37"/>
        <v>0</v>
      </c>
      <c r="N194" s="224">
        <f t="shared" si="38"/>
        <v>0</v>
      </c>
      <c r="O194" s="224">
        <f t="shared" si="39"/>
        <v>0</v>
      </c>
      <c r="P194" s="1613" t="str">
        <f>IF(ISBLANK(F194),"",$P$180-SUM($L$181:L194))</f>
        <v/>
      </c>
      <c r="Q194" s="1614" t="str">
        <f>IF(ISBLANK(F194),"",$Q$180-SUM($M$181:M194))</f>
        <v/>
      </c>
      <c r="R194" s="259"/>
      <c r="S194" s="251" t="str">
        <f t="shared" si="40"/>
        <v/>
      </c>
    </row>
    <row r="195" spans="1:19" ht="18.95" customHeight="1">
      <c r="A195" s="1615"/>
      <c r="B195" s="1616"/>
      <c r="C195" s="1617"/>
      <c r="D195" s="1618"/>
      <c r="E195" s="1616"/>
      <c r="F195" s="1617"/>
      <c r="G195" s="1619"/>
      <c r="H195" s="1616"/>
      <c r="I195" s="1617"/>
      <c r="J195" s="1617"/>
      <c r="K195" s="1617"/>
      <c r="L195" s="223">
        <f t="shared" si="36"/>
        <v>0</v>
      </c>
      <c r="M195" s="224">
        <f t="shared" si="37"/>
        <v>0</v>
      </c>
      <c r="N195" s="224">
        <f t="shared" si="38"/>
        <v>0</v>
      </c>
      <c r="O195" s="224">
        <f t="shared" si="39"/>
        <v>0</v>
      </c>
      <c r="P195" s="1613" t="str">
        <f>IF(ISBLANK(F195),"",$P$180-SUM($L$181:L195))</f>
        <v/>
      </c>
      <c r="Q195" s="1614" t="str">
        <f>IF(ISBLANK(F195),"",$Q$180-SUM($M$181:M195))</f>
        <v/>
      </c>
      <c r="R195" s="259"/>
      <c r="S195" s="251" t="str">
        <f t="shared" si="40"/>
        <v/>
      </c>
    </row>
    <row r="196" spans="1:19" ht="18.95" customHeight="1">
      <c r="A196" s="1615"/>
      <c r="B196" s="1616"/>
      <c r="C196" s="1617"/>
      <c r="D196" s="1618"/>
      <c r="E196" s="1616"/>
      <c r="F196" s="1617"/>
      <c r="G196" s="1619"/>
      <c r="H196" s="1616"/>
      <c r="I196" s="1617"/>
      <c r="J196" s="1617"/>
      <c r="K196" s="1617"/>
      <c r="L196" s="223">
        <f t="shared" si="36"/>
        <v>0</v>
      </c>
      <c r="M196" s="224">
        <f t="shared" si="37"/>
        <v>0</v>
      </c>
      <c r="N196" s="224">
        <f t="shared" si="38"/>
        <v>0</v>
      </c>
      <c r="O196" s="224">
        <f t="shared" si="39"/>
        <v>0</v>
      </c>
      <c r="P196" s="1613" t="str">
        <f>IF(ISBLANK(F196),"",$P$180-SUM($L$181:L196))</f>
        <v/>
      </c>
      <c r="Q196" s="1614" t="str">
        <f>IF(ISBLANK(F196),"",$Q$180-SUM($M$181:M196))</f>
        <v/>
      </c>
      <c r="R196" s="259"/>
      <c r="S196" s="251" t="str">
        <f t="shared" si="40"/>
        <v/>
      </c>
    </row>
    <row r="197" spans="1:19" ht="18.95" customHeight="1">
      <c r="A197" s="1615"/>
      <c r="B197" s="1616"/>
      <c r="C197" s="1617"/>
      <c r="D197" s="1618"/>
      <c r="E197" s="1616"/>
      <c r="F197" s="1617"/>
      <c r="G197" s="1619"/>
      <c r="H197" s="1616"/>
      <c r="I197" s="1617"/>
      <c r="J197" s="1617"/>
      <c r="K197" s="1617"/>
      <c r="L197" s="223">
        <f>F197*H197</f>
        <v>0</v>
      </c>
      <c r="M197" s="224">
        <f>F197*I197</f>
        <v>0</v>
      </c>
      <c r="N197" s="224">
        <f>F197*J197</f>
        <v>0</v>
      </c>
      <c r="O197" s="224">
        <f>F197*K197</f>
        <v>0</v>
      </c>
      <c r="P197" s="1613" t="str">
        <f>IF(ISBLANK(F197),"",$P$180-SUM($L$181:L197))</f>
        <v/>
      </c>
      <c r="Q197" s="1614" t="str">
        <f>IF(ISBLANK(F197),"",$Q$180-SUM($M$181:M197))</f>
        <v/>
      </c>
      <c r="R197" s="259"/>
      <c r="S197" s="251" t="str">
        <f>IF(AND(ISBLANK(F197)=FALSE,ISBLANK(G197)),"Einheit eintragen (z.B. kg, dt, t, m3, etc.)","")</f>
        <v/>
      </c>
    </row>
    <row r="198" spans="1:19" ht="18.95" customHeight="1">
      <c r="A198" s="1615"/>
      <c r="B198" s="1616"/>
      <c r="C198" s="1617"/>
      <c r="D198" s="1618"/>
      <c r="E198" s="1616"/>
      <c r="F198" s="1617"/>
      <c r="G198" s="1619"/>
      <c r="H198" s="1616"/>
      <c r="I198" s="1617"/>
      <c r="J198" s="1617"/>
      <c r="K198" s="1617"/>
      <c r="L198" s="223">
        <f>F198*H198</f>
        <v>0</v>
      </c>
      <c r="M198" s="224">
        <f>F198*I198</f>
        <v>0</v>
      </c>
      <c r="N198" s="224">
        <f>F198*J198</f>
        <v>0</v>
      </c>
      <c r="O198" s="224">
        <f>F198*K198</f>
        <v>0</v>
      </c>
      <c r="P198" s="1613" t="str">
        <f>IF(ISBLANK(F198),"",$P$180-SUM($L$181:L198))</f>
        <v/>
      </c>
      <c r="Q198" s="1614" t="str">
        <f>IF(ISBLANK(F198),"",$Q$180-SUM($M$181:M198))</f>
        <v/>
      </c>
      <c r="R198" s="259"/>
      <c r="S198" s="251" t="str">
        <f>IF(AND(ISBLANK(F198)=FALSE,ISBLANK(G198)),"Einheit eintragen (z.B. kg, dt, t, m3, etc.)","")</f>
        <v/>
      </c>
    </row>
    <row r="199" spans="1:19" ht="18.95" customHeight="1">
      <c r="A199" s="1615"/>
      <c r="B199" s="1616"/>
      <c r="C199" s="1617"/>
      <c r="D199" s="1618"/>
      <c r="E199" s="1616"/>
      <c r="F199" s="1617"/>
      <c r="G199" s="1619"/>
      <c r="H199" s="1616"/>
      <c r="I199" s="1617"/>
      <c r="J199" s="1617"/>
      <c r="K199" s="1617"/>
      <c r="L199" s="223">
        <f>F199*H199</f>
        <v>0</v>
      </c>
      <c r="M199" s="224">
        <f>F199*I199</f>
        <v>0</v>
      </c>
      <c r="N199" s="224">
        <f>F199*J199</f>
        <v>0</v>
      </c>
      <c r="O199" s="224">
        <f>F199*K199</f>
        <v>0</v>
      </c>
      <c r="P199" s="1613" t="str">
        <f>IF(ISBLANK(F199),"",$P$180-SUM($L$181:L199))</f>
        <v/>
      </c>
      <c r="Q199" s="1614" t="str">
        <f>IF(ISBLANK(F199),"",$Q$180-SUM($M$181:M199))</f>
        <v/>
      </c>
      <c r="R199" s="259"/>
      <c r="S199" s="251" t="str">
        <f>IF(AND(ISBLANK(F199)=FALSE,ISBLANK(G199)),"Einheit eintragen (z.B. kg, dt, t, m3, etc.)","")</f>
        <v/>
      </c>
    </row>
    <row r="200" spans="1:19" ht="18.95" customHeight="1">
      <c r="A200" s="1615"/>
      <c r="B200" s="1616"/>
      <c r="C200" s="1617"/>
      <c r="D200" s="1618"/>
      <c r="E200" s="1616"/>
      <c r="F200" s="1617"/>
      <c r="G200" s="1619"/>
      <c r="H200" s="1616"/>
      <c r="I200" s="1617"/>
      <c r="J200" s="1617"/>
      <c r="K200" s="1617"/>
      <c r="L200" s="223">
        <f>F200*H200</f>
        <v>0</v>
      </c>
      <c r="M200" s="224">
        <f>F200*I200</f>
        <v>0</v>
      </c>
      <c r="N200" s="224">
        <f>F200*J200</f>
        <v>0</v>
      </c>
      <c r="O200" s="224">
        <f>F200*K200</f>
        <v>0</v>
      </c>
      <c r="P200" s="1613" t="str">
        <f>IF(ISBLANK(F200),"",$P$180-SUM($L$181:L200))</f>
        <v/>
      </c>
      <c r="Q200" s="1614" t="str">
        <f>IF(ISBLANK(F200),"",$Q$180-SUM($M$181:M200))</f>
        <v/>
      </c>
      <c r="R200" s="259"/>
      <c r="S200" s="251" t="str">
        <f>IF(AND(ISBLANK(F200)=FALSE,ISBLANK(G200)),"Einheit eintragen (z.B. kg, dt, t, m3, etc.)","")</f>
        <v/>
      </c>
    </row>
    <row r="201" spans="1:19" ht="18.95" customHeight="1">
      <c r="A201" s="1615"/>
      <c r="B201" s="1616"/>
      <c r="C201" s="1617"/>
      <c r="D201" s="1618"/>
      <c r="E201" s="1616"/>
      <c r="F201" s="1617"/>
      <c r="G201" s="1619"/>
      <c r="H201" s="1616"/>
      <c r="I201" s="1617"/>
      <c r="J201" s="1617"/>
      <c r="K201" s="1617"/>
      <c r="L201" s="223">
        <f>F201*H201</f>
        <v>0</v>
      </c>
      <c r="M201" s="224">
        <f>F201*I201</f>
        <v>0</v>
      </c>
      <c r="N201" s="224">
        <f>F201*J201</f>
        <v>0</v>
      </c>
      <c r="O201" s="224">
        <f>F201*K201</f>
        <v>0</v>
      </c>
      <c r="P201" s="1613" t="str">
        <f>IF(ISBLANK(F201),"",$P$180-SUM($L$181:L201))</f>
        <v/>
      </c>
      <c r="Q201" s="1614" t="str">
        <f>IF(ISBLANK(F201),"",$Q$180-SUM($M$181:M201))</f>
        <v/>
      </c>
      <c r="R201" s="259"/>
      <c r="S201" s="251" t="str">
        <f>IF(AND(ISBLANK(F201)=FALSE,ISBLANK(G201)),"Einheit eintragen (z.B. kg, dt, t, m3, etc.)","")</f>
        <v/>
      </c>
    </row>
    <row r="202" spans="1:19" ht="20.100000000000001" customHeight="1">
      <c r="A202" s="962"/>
      <c r="J202" s="206"/>
      <c r="K202" s="207" t="s">
        <v>70</v>
      </c>
      <c r="L202" s="208">
        <f>SUM(L180:L201)</f>
        <v>148.5</v>
      </c>
      <c r="M202" s="209">
        <f>SUM(M180:M201)</f>
        <v>0</v>
      </c>
      <c r="N202" s="209">
        <f>SUM(N180:N201)</f>
        <v>0</v>
      </c>
      <c r="O202" s="210">
        <f>SUM(O180:O201)</f>
        <v>0</v>
      </c>
      <c r="P202" s="211">
        <f>$P$13-L202</f>
        <v>-148.5</v>
      </c>
      <c r="Q202" s="212">
        <f>$Q$13-M202</f>
        <v>0</v>
      </c>
      <c r="R202" s="260"/>
    </row>
    <row r="203" spans="1:19">
      <c r="A203" s="962"/>
    </row>
  </sheetData>
  <sheetProtection algorithmName="SHA-512" hashValue="JEAGWl3RTlcg/0KV2PwD5bFaQbxQVNX6SFYFPMeBdeJMsOVooajgGQ5IOJVOKFUvVBk+Z2cqw/ZW9IH/noFYaw==" saltValue="XrX1Gyj+7dxMG4Xcc9Mavg==" spinCount="100000" sheet="1" objects="1" scenarios="1"/>
  <mergeCells count="5">
    <mergeCell ref="M10:O10"/>
    <mergeCell ref="I8:J8"/>
    <mergeCell ref="I9:J9"/>
    <mergeCell ref="M8:O8"/>
    <mergeCell ref="M9:O9"/>
  </mergeCells>
  <phoneticPr fontId="56" type="noConversion"/>
  <printOptions horizontalCentered="1" verticalCentered="1" gridLinesSet="0"/>
  <pageMargins left="0" right="0" top="0" bottom="0" header="0" footer="0"/>
  <pageSetup paperSize="9" orientation="landscape" horizontalDpi="300" verticalDpi="300" r:id="rId1"/>
  <headerFooter alignWithMargins="0">
    <oddFooter>&amp;L&amp;"Arial,Standard"&amp;7&amp;F&amp;C&amp;"Arial,Standard"&amp;7&amp;A&amp;R&amp;"Arial,Standard"&amp;7Seite &amp;P</oddFooter>
  </headerFooter>
  <rowBreaks count="5" manualBreakCount="5">
    <brk id="34" max="65535" man="1"/>
    <brk id="62" max="65535" man="1"/>
    <brk id="90" max="65535" man="1"/>
    <brk id="118" max="65535" man="1"/>
    <brk id="146" max="65535" man="1"/>
  </rowBreaks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7"/>
  <dimension ref="A1:AE532"/>
  <sheetViews>
    <sheetView zoomScale="125" zoomScaleNormal="125" workbookViewId="0">
      <pane xSplit="7" topLeftCell="H1" activePane="topRight" state="frozen"/>
      <selection pane="topRight" activeCell="N20" sqref="N20"/>
    </sheetView>
  </sheetViews>
  <sheetFormatPr baseColWidth="10" defaultColWidth="11.42578125" defaultRowHeight="12.75"/>
  <cols>
    <col min="1" max="4" width="5.7109375" style="4" hidden="1" customWidth="1"/>
    <col min="5" max="5" width="7.28515625" style="4" customWidth="1"/>
    <col min="6" max="6" width="35.7109375" style="4" customWidth="1"/>
    <col min="7" max="7" width="8.7109375" style="4" customWidth="1"/>
    <col min="8" max="8" width="7.7109375" style="4" customWidth="1"/>
    <col min="9" max="11" width="7.28515625" style="4" customWidth="1"/>
    <col min="12" max="12" width="6.7109375" style="4" customWidth="1"/>
    <col min="13" max="13" width="6.85546875" style="4" customWidth="1"/>
    <col min="14" max="14" width="14.7109375" style="4" customWidth="1"/>
    <col min="15" max="15" width="10.7109375" style="4" customWidth="1"/>
    <col min="16" max="17" width="9.7109375" style="4" customWidth="1"/>
    <col min="18" max="18" width="5.7109375" style="4" customWidth="1"/>
    <col min="19" max="19" width="11.85546875" style="4" customWidth="1"/>
    <col min="20" max="25" width="11.42578125" style="4"/>
    <col min="26" max="26" width="6.5703125" style="4" customWidth="1"/>
    <col min="27" max="27" width="11.42578125" style="4"/>
    <col min="28" max="28" width="12.5703125" style="4" customWidth="1"/>
    <col min="29" max="29" width="11.42578125" style="4"/>
    <col min="30" max="30" width="11.42578125" style="4" customWidth="1"/>
    <col min="31" max="16384" width="11.42578125" style="4"/>
  </cols>
  <sheetData>
    <row r="1" spans="1:28" ht="18.75" customHeight="1" thickBot="1">
      <c r="A1" s="3011" t="s">
        <v>1782</v>
      </c>
      <c r="B1" s="3011"/>
      <c r="C1" s="3011"/>
      <c r="D1" s="3012"/>
      <c r="E1" s="3069" t="s">
        <v>1970</v>
      </c>
      <c r="F1" s="3070"/>
      <c r="G1" s="3071"/>
      <c r="H1" s="3071"/>
      <c r="I1" s="3071"/>
      <c r="J1" s="3071"/>
      <c r="K1" s="3071"/>
      <c r="L1" s="3071"/>
      <c r="M1" s="3072"/>
      <c r="N1" s="2557" t="s">
        <v>1771</v>
      </c>
      <c r="O1" s="525" t="s">
        <v>2122</v>
      </c>
      <c r="P1" s="306"/>
      <c r="Q1" s="306"/>
      <c r="R1" s="306"/>
      <c r="S1" s="306"/>
      <c r="T1" s="306"/>
      <c r="U1" s="306"/>
      <c r="V1" s="306"/>
      <c r="W1" s="306"/>
      <c r="X1" s="1985" t="s">
        <v>573</v>
      </c>
      <c r="Y1" s="1984" t="str">
        <f>Suisse_Bilanz_1.20!K7</f>
        <v>ÖLN</v>
      </c>
      <c r="Z1" s="1681" t="s">
        <v>1424</v>
      </c>
      <c r="AA1" s="1978" t="s">
        <v>569</v>
      </c>
      <c r="AB1" s="2578" t="s">
        <v>1469</v>
      </c>
    </row>
    <row r="2" spans="1:28" ht="6.75" customHeight="1">
      <c r="D2" s="694"/>
      <c r="N2" s="1087"/>
      <c r="P2" s="526"/>
      <c r="Q2" s="526"/>
      <c r="T2" s="306"/>
      <c r="U2" s="306"/>
      <c r="V2" s="306"/>
      <c r="W2" s="306"/>
      <c r="X2" s="306"/>
      <c r="Y2" s="306"/>
      <c r="Z2" s="1469"/>
      <c r="AA2" s="1978"/>
      <c r="AB2" s="1979"/>
    </row>
    <row r="3" spans="1:28" ht="14.25" customHeight="1">
      <c r="A3" s="712" t="s">
        <v>15</v>
      </c>
      <c r="D3" s="1105" t="s">
        <v>940</v>
      </c>
      <c r="E3" s="939" t="s">
        <v>131</v>
      </c>
      <c r="F3" s="968" t="s">
        <v>48</v>
      </c>
      <c r="G3" s="1660" t="s">
        <v>52</v>
      </c>
      <c r="H3" s="993" t="s">
        <v>223</v>
      </c>
      <c r="I3" s="994" t="s">
        <v>61</v>
      </c>
      <c r="J3" s="993" t="s">
        <v>924</v>
      </c>
      <c r="K3" s="993" t="s">
        <v>925</v>
      </c>
      <c r="L3" s="993" t="s">
        <v>64</v>
      </c>
      <c r="M3" s="3039" t="s">
        <v>771</v>
      </c>
      <c r="N3" s="1123"/>
      <c r="O3" s="527" t="s">
        <v>175</v>
      </c>
      <c r="P3" s="527" t="s">
        <v>171</v>
      </c>
      <c r="Q3" s="527" t="s">
        <v>177</v>
      </c>
      <c r="S3" s="665" t="s">
        <v>940</v>
      </c>
      <c r="T3" s="306"/>
      <c r="U3" s="306"/>
      <c r="V3" s="306"/>
      <c r="W3" s="306"/>
      <c r="X3" s="306"/>
      <c r="Y3" s="306" t="s">
        <v>567</v>
      </c>
      <c r="Z3" s="1469"/>
      <c r="AA3" s="1978" t="s">
        <v>570</v>
      </c>
      <c r="AB3" s="1979"/>
    </row>
    <row r="4" spans="1:28" ht="14.25" thickBot="1">
      <c r="D4" s="694"/>
      <c r="E4" s="940"/>
      <c r="F4" s="969"/>
      <c r="G4" s="1661"/>
      <c r="H4" s="995" t="s">
        <v>941</v>
      </c>
      <c r="I4" s="996" t="s">
        <v>942</v>
      </c>
      <c r="J4" s="3049" t="s">
        <v>943</v>
      </c>
      <c r="K4" s="995"/>
      <c r="L4" s="995"/>
      <c r="M4" s="3040" t="s">
        <v>2094</v>
      </c>
      <c r="N4" s="1123"/>
      <c r="O4" s="528" t="s">
        <v>172</v>
      </c>
      <c r="P4" s="528" t="s">
        <v>223</v>
      </c>
      <c r="Q4" s="528" t="s">
        <v>173</v>
      </c>
      <c r="S4" s="665"/>
      <c r="T4" s="306"/>
      <c r="U4" s="306"/>
      <c r="V4" s="306"/>
      <c r="W4" s="306"/>
      <c r="X4" s="306"/>
      <c r="Y4" s="306" t="s">
        <v>654</v>
      </c>
      <c r="Z4" s="1469"/>
      <c r="AA4" s="1978" t="s">
        <v>572</v>
      </c>
      <c r="AB4" s="1979"/>
    </row>
    <row r="5" spans="1:28" ht="18.75" thickBot="1">
      <c r="A5" s="4" t="s">
        <v>1439</v>
      </c>
      <c r="B5" s="4" t="s">
        <v>54</v>
      </c>
      <c r="D5" s="694"/>
      <c r="E5" s="542" t="s">
        <v>944</v>
      </c>
      <c r="F5" s="970"/>
      <c r="G5" s="970"/>
      <c r="H5" s="970"/>
      <c r="I5" s="970"/>
      <c r="J5" s="970"/>
      <c r="K5" s="970"/>
      <c r="L5" s="970"/>
      <c r="M5" s="3040" t="s">
        <v>2095</v>
      </c>
      <c r="N5" s="1123"/>
      <c r="O5" s="710" t="s">
        <v>174</v>
      </c>
      <c r="P5" s="529" t="s">
        <v>227</v>
      </c>
      <c r="Q5" s="529" t="s">
        <v>176</v>
      </c>
      <c r="S5" s="666"/>
      <c r="T5" s="667"/>
      <c r="U5" s="667"/>
      <c r="V5" s="667"/>
      <c r="W5" s="306"/>
      <c r="X5" s="306"/>
      <c r="Y5" s="667" t="s">
        <v>568</v>
      </c>
      <c r="Z5" s="1469"/>
      <c r="AA5" s="1983" t="s">
        <v>941</v>
      </c>
      <c r="AB5" s="1981" t="s">
        <v>571</v>
      </c>
    </row>
    <row r="6" spans="1:28" ht="13.5">
      <c r="A6" s="660" t="s">
        <v>1438</v>
      </c>
      <c r="B6" s="4" t="str">
        <f t="shared" ref="B6:B96" si="0">F6</f>
        <v xml:space="preserve"> -</v>
      </c>
      <c r="D6" s="694"/>
      <c r="E6" s="941">
        <v>0</v>
      </c>
      <c r="F6" s="7" t="s">
        <v>945</v>
      </c>
      <c r="G6" s="7"/>
      <c r="H6" s="7"/>
      <c r="I6" s="7"/>
      <c r="J6" s="7"/>
      <c r="K6" s="7"/>
      <c r="L6" s="7"/>
      <c r="M6" s="3041" t="s">
        <v>2096</v>
      </c>
      <c r="N6" s="1123"/>
      <c r="O6" s="306"/>
      <c r="P6" s="306"/>
      <c r="Q6" s="306"/>
      <c r="S6" s="597"/>
      <c r="T6" s="306"/>
      <c r="U6" s="306"/>
      <c r="V6" s="306"/>
      <c r="W6" s="306"/>
      <c r="X6" s="306"/>
      <c r="Y6" s="306"/>
      <c r="Z6" s="1469"/>
      <c r="AA6" s="1977"/>
      <c r="AB6" s="1980" t="str">
        <f>IF(AND(ISNUMBER(H6),H6&gt;0),IF(AA6/H6&lt;0.8,"Bio-Ertrag zu tief",AA6/H6),"")</f>
        <v/>
      </c>
    </row>
    <row r="7" spans="1:28" ht="13.5">
      <c r="A7" s="660"/>
      <c r="B7" s="4" t="str">
        <f t="shared" si="0"/>
        <v>Ackerbohnen</v>
      </c>
      <c r="D7" s="694"/>
      <c r="E7" s="942" t="s">
        <v>946</v>
      </c>
      <c r="F7" s="971" t="s">
        <v>947</v>
      </c>
      <c r="G7" s="1662" t="s">
        <v>948</v>
      </c>
      <c r="H7" s="971">
        <v>40</v>
      </c>
      <c r="I7" s="998">
        <v>0</v>
      </c>
      <c r="J7" s="999">
        <v>1.4</v>
      </c>
      <c r="K7" s="999">
        <v>2.13</v>
      </c>
      <c r="L7" s="999">
        <v>0.25</v>
      </c>
      <c r="M7" s="3042">
        <v>536</v>
      </c>
      <c r="N7" s="1108"/>
      <c r="O7" s="306"/>
      <c r="P7" s="306"/>
      <c r="Q7" s="306"/>
      <c r="R7" s="306"/>
      <c r="S7" s="597"/>
      <c r="T7" s="306"/>
      <c r="U7" s="306"/>
      <c r="V7" s="306"/>
      <c r="W7" s="306"/>
      <c r="X7" s="306"/>
      <c r="Y7" s="1982">
        <f>IF(Y$1="BIO",AA7,H7)</f>
        <v>40</v>
      </c>
      <c r="Z7" s="1469"/>
      <c r="AA7" s="1977">
        <v>40</v>
      </c>
      <c r="AB7" s="1980">
        <f t="shared" ref="AB7:AB67" si="1">IF(AND(ISNUMBER(H7),H7&gt;0),IF(AA7/H7&lt;0.8,"Bio-Ertrag zu tief",AA7/H7),"")</f>
        <v>1</v>
      </c>
    </row>
    <row r="8" spans="1:28" ht="13.5">
      <c r="A8" s="660"/>
      <c r="B8" s="4" t="str">
        <f t="shared" si="0"/>
        <v>CCM-Mais (wie Kö-Mais, 86% TS)</v>
      </c>
      <c r="D8" s="524"/>
      <c r="E8" s="2619" t="s">
        <v>949</v>
      </c>
      <c r="F8" s="2571" t="s">
        <v>2119</v>
      </c>
      <c r="G8" s="1663" t="s">
        <v>948</v>
      </c>
      <c r="H8" s="2620">
        <v>100</v>
      </c>
      <c r="I8" s="2621">
        <v>110</v>
      </c>
      <c r="J8" s="2622">
        <v>0.76</v>
      </c>
      <c r="K8" s="2622">
        <v>0.4</v>
      </c>
      <c r="L8" s="2622">
        <v>0.09</v>
      </c>
      <c r="M8" s="3043"/>
      <c r="N8" s="1108"/>
      <c r="O8" s="657">
        <v>1.2</v>
      </c>
      <c r="P8" s="658">
        <v>135</v>
      </c>
      <c r="Q8" s="658">
        <f>(P8-H8)*O8</f>
        <v>42</v>
      </c>
      <c r="R8" s="306"/>
      <c r="S8" s="3001" t="s">
        <v>1788</v>
      </c>
      <c r="T8" s="2449"/>
      <c r="U8" s="2449"/>
      <c r="V8" s="2449"/>
      <c r="W8" s="2449"/>
      <c r="X8" s="2449"/>
      <c r="Y8" s="1982">
        <f t="shared" ref="Y8:Y67" si="2">IF(Y$1="BIO",AA8,H8)</f>
        <v>100</v>
      </c>
      <c r="Z8" s="1469"/>
      <c r="AA8" s="1977">
        <v>80</v>
      </c>
      <c r="AB8" s="1980">
        <f t="shared" si="1"/>
        <v>0.8</v>
      </c>
    </row>
    <row r="9" spans="1:28" ht="13.5">
      <c r="A9" s="660"/>
      <c r="B9" s="4" t="str">
        <f t="shared" si="0"/>
        <v>CCM-Mais (wie Kö-Mais, 86% TS), Nitrat-Projekt</v>
      </c>
      <c r="D9" s="524"/>
      <c r="E9" s="2619" t="s">
        <v>1977</v>
      </c>
      <c r="F9" s="2571" t="s">
        <v>2120</v>
      </c>
      <c r="G9" s="1663" t="s">
        <v>948</v>
      </c>
      <c r="H9" s="2620">
        <v>100</v>
      </c>
      <c r="I9" s="2621">
        <v>110</v>
      </c>
      <c r="J9" s="2622">
        <v>0.76</v>
      </c>
      <c r="K9" s="2622">
        <v>0.4</v>
      </c>
      <c r="L9" s="2622">
        <v>0.09</v>
      </c>
      <c r="M9" s="3043"/>
      <c r="N9" s="1108"/>
      <c r="O9" s="657">
        <v>1.2</v>
      </c>
      <c r="P9" s="659">
        <v>100</v>
      </c>
      <c r="Q9" s="659">
        <v>0</v>
      </c>
      <c r="R9" s="306"/>
      <c r="S9" s="3003" t="s">
        <v>24</v>
      </c>
      <c r="T9" s="3004"/>
      <c r="U9" s="3004"/>
      <c r="V9" s="3004"/>
      <c r="W9" s="3004"/>
      <c r="X9" s="3004"/>
      <c r="Y9" s="1982">
        <f t="shared" si="2"/>
        <v>100</v>
      </c>
      <c r="Z9" s="1469"/>
      <c r="AA9" s="1977">
        <v>80</v>
      </c>
      <c r="AB9" s="1980">
        <f t="shared" si="1"/>
        <v>0.8</v>
      </c>
    </row>
    <row r="10" spans="1:28" ht="13.5">
      <c r="A10" s="660"/>
      <c r="B10" s="4" t="str">
        <f t="shared" si="0"/>
        <v>Eiweisserbsen</v>
      </c>
      <c r="D10" s="694"/>
      <c r="E10" s="943" t="s">
        <v>950</v>
      </c>
      <c r="F10" s="972" t="s">
        <v>951</v>
      </c>
      <c r="G10" s="1663" t="s">
        <v>948</v>
      </c>
      <c r="H10" s="972">
        <v>40</v>
      </c>
      <c r="I10" s="1000">
        <v>0</v>
      </c>
      <c r="J10" s="1001">
        <v>0.98</v>
      </c>
      <c r="K10" s="1001">
        <v>1.84</v>
      </c>
      <c r="L10" s="1001">
        <v>0.13</v>
      </c>
      <c r="M10" s="3044">
        <v>537</v>
      </c>
      <c r="N10" s="1108"/>
      <c r="O10" s="306"/>
      <c r="P10" s="306"/>
      <c r="Q10" s="306"/>
      <c r="R10" s="306"/>
      <c r="S10" s="306"/>
      <c r="T10" s="306"/>
      <c r="U10" s="306"/>
      <c r="V10" s="306"/>
      <c r="W10" s="306"/>
      <c r="X10" s="306"/>
      <c r="Y10" s="1982">
        <f t="shared" si="2"/>
        <v>40</v>
      </c>
      <c r="Z10" s="1469"/>
      <c r="AA10" s="1977">
        <v>50</v>
      </c>
      <c r="AB10" s="1980">
        <f t="shared" si="1"/>
        <v>1.25</v>
      </c>
    </row>
    <row r="11" spans="1:28" ht="13.5">
      <c r="A11" s="660"/>
      <c r="B11" s="4" t="str">
        <f t="shared" si="0"/>
        <v>Emmer / Einkorn</v>
      </c>
      <c r="D11" s="694"/>
      <c r="E11" s="943" t="s">
        <v>952</v>
      </c>
      <c r="F11" s="972" t="s">
        <v>953</v>
      </c>
      <c r="G11" s="1663" t="s">
        <v>948</v>
      </c>
      <c r="H11" s="972">
        <v>25</v>
      </c>
      <c r="I11" s="1000">
        <v>30</v>
      </c>
      <c r="J11" s="1001">
        <v>0.8</v>
      </c>
      <c r="K11" s="1001">
        <v>0.06</v>
      </c>
      <c r="L11" s="1001">
        <v>0.16</v>
      </c>
      <c r="M11" s="3044">
        <v>511</v>
      </c>
      <c r="N11" s="1108"/>
      <c r="O11" s="306"/>
      <c r="P11" s="306"/>
      <c r="Q11" s="306"/>
      <c r="R11" s="306"/>
      <c r="S11" s="306"/>
      <c r="T11" s="306"/>
      <c r="U11" s="306"/>
      <c r="V11" s="306"/>
      <c r="W11" s="306"/>
      <c r="X11" s="306"/>
      <c r="Y11" s="1982">
        <f t="shared" si="2"/>
        <v>25</v>
      </c>
      <c r="Z11" s="1469"/>
      <c r="AA11" s="1977">
        <v>25</v>
      </c>
      <c r="AB11" s="1980">
        <f t="shared" si="1"/>
        <v>1</v>
      </c>
    </row>
    <row r="12" spans="1:28" ht="13.5">
      <c r="A12" s="660"/>
      <c r="B12" s="4" t="str">
        <f t="shared" si="0"/>
        <v>Frühkartoffeln</v>
      </c>
      <c r="D12" s="694"/>
      <c r="E12" s="943" t="s">
        <v>954</v>
      </c>
      <c r="F12" s="972" t="s">
        <v>955</v>
      </c>
      <c r="G12" s="1663" t="s">
        <v>956</v>
      </c>
      <c r="H12" s="972">
        <v>300</v>
      </c>
      <c r="I12" s="1000">
        <v>110</v>
      </c>
      <c r="J12" s="1001">
        <v>0.19</v>
      </c>
      <c r="K12" s="1001">
        <v>0.69</v>
      </c>
      <c r="L12" s="1001">
        <v>0.03</v>
      </c>
      <c r="M12" s="3044">
        <v>524</v>
      </c>
      <c r="N12" s="1108" t="s">
        <v>1772</v>
      </c>
      <c r="O12" s="306"/>
      <c r="P12" s="306"/>
      <c r="Q12" s="306"/>
      <c r="R12" s="306"/>
      <c r="S12" s="306"/>
      <c r="T12" s="306"/>
      <c r="U12" s="306"/>
      <c r="V12" s="306"/>
      <c r="W12" s="306"/>
      <c r="X12" s="306"/>
      <c r="Y12" s="1982">
        <f t="shared" si="2"/>
        <v>300</v>
      </c>
      <c r="Z12" s="1469"/>
      <c r="AA12" s="1977">
        <v>250</v>
      </c>
      <c r="AB12" s="1980">
        <f t="shared" si="1"/>
        <v>0.83333333333333337</v>
      </c>
    </row>
    <row r="13" spans="1:28" ht="13.5">
      <c r="A13" s="660"/>
      <c r="B13" s="4" t="str">
        <f t="shared" si="0"/>
        <v>Frühkartoffeln Gruppe a</v>
      </c>
      <c r="D13" s="694"/>
      <c r="E13" s="943" t="s">
        <v>1607</v>
      </c>
      <c r="F13" s="972" t="s">
        <v>1610</v>
      </c>
      <c r="G13" s="1663" t="s">
        <v>956</v>
      </c>
      <c r="H13" s="972">
        <v>300</v>
      </c>
      <c r="I13" s="1000">
        <v>70</v>
      </c>
      <c r="J13" s="1001">
        <v>0.19</v>
      </c>
      <c r="K13" s="1001">
        <v>0.69</v>
      </c>
      <c r="L13" s="1001">
        <v>0.03</v>
      </c>
      <c r="M13" s="3044">
        <v>524</v>
      </c>
      <c r="N13" s="2558" t="s">
        <v>1994</v>
      </c>
      <c r="O13" s="306"/>
      <c r="P13" s="306"/>
      <c r="Q13" s="306"/>
      <c r="R13" s="306"/>
      <c r="S13" s="306"/>
      <c r="T13" s="306"/>
      <c r="U13" s="306"/>
      <c r="V13" s="306"/>
      <c r="W13" s="306"/>
      <c r="X13" s="306"/>
      <c r="Y13" s="1982">
        <f t="shared" si="2"/>
        <v>300</v>
      </c>
      <c r="Z13" s="1469"/>
      <c r="AA13" s="1977">
        <v>250</v>
      </c>
      <c r="AB13" s="1980">
        <f t="shared" ref="AB13:AB15" si="3">IF(AND(ISNUMBER(H13),H13&gt;0),IF(AA13/H13&lt;0.8,"Bio-Ertrag zu tief",AA13/H13),"")</f>
        <v>0.83333333333333337</v>
      </c>
    </row>
    <row r="14" spans="1:28" ht="13.5">
      <c r="A14" s="660"/>
      <c r="B14" s="4" t="str">
        <f t="shared" si="0"/>
        <v>Frühkartoffeln Gruppe b</v>
      </c>
      <c r="D14" s="694"/>
      <c r="E14" s="943" t="s">
        <v>1608</v>
      </c>
      <c r="F14" s="972" t="s">
        <v>1611</v>
      </c>
      <c r="G14" s="1663" t="s">
        <v>956</v>
      </c>
      <c r="H14" s="972">
        <v>300</v>
      </c>
      <c r="I14" s="1000">
        <v>110</v>
      </c>
      <c r="J14" s="1001">
        <v>0.19</v>
      </c>
      <c r="K14" s="1001">
        <v>0.69</v>
      </c>
      <c r="L14" s="1001">
        <v>0.03</v>
      </c>
      <c r="M14" s="3044">
        <v>524</v>
      </c>
      <c r="N14" s="2558" t="s">
        <v>1995</v>
      </c>
      <c r="O14" s="306"/>
      <c r="P14" s="306"/>
      <c r="Q14" s="306"/>
      <c r="R14" s="306"/>
      <c r="S14" s="306"/>
      <c r="T14" s="306"/>
      <c r="U14" s="306"/>
      <c r="V14" s="306"/>
      <c r="W14" s="306"/>
      <c r="X14" s="306"/>
      <c r="Y14" s="1982">
        <f t="shared" si="2"/>
        <v>300</v>
      </c>
      <c r="Z14" s="1469"/>
      <c r="AA14" s="1977">
        <v>250</v>
      </c>
      <c r="AB14" s="1980">
        <f t="shared" si="3"/>
        <v>0.83333333333333337</v>
      </c>
    </row>
    <row r="15" spans="1:28" ht="13.5">
      <c r="A15" s="660"/>
      <c r="B15" s="4" t="str">
        <f t="shared" si="0"/>
        <v>Frühkartoffeln Gruppe c</v>
      </c>
      <c r="D15" s="694"/>
      <c r="E15" s="943" t="s">
        <v>1609</v>
      </c>
      <c r="F15" s="972" t="s">
        <v>1612</v>
      </c>
      <c r="G15" s="1663" t="s">
        <v>956</v>
      </c>
      <c r="H15" s="972">
        <v>300</v>
      </c>
      <c r="I15" s="1000">
        <v>150</v>
      </c>
      <c r="J15" s="1001">
        <v>0.19</v>
      </c>
      <c r="K15" s="1001">
        <v>0.69</v>
      </c>
      <c r="L15" s="1001">
        <v>0.03</v>
      </c>
      <c r="M15" s="3044">
        <v>524</v>
      </c>
      <c r="N15" s="2558" t="s">
        <v>1996</v>
      </c>
      <c r="O15" s="306"/>
      <c r="P15" s="306"/>
      <c r="Q15" s="306"/>
      <c r="R15" s="306"/>
      <c r="S15" s="306"/>
      <c r="T15" s="306"/>
      <c r="U15" s="306"/>
      <c r="V15" s="306"/>
      <c r="W15" s="306"/>
      <c r="X15" s="306"/>
      <c r="Y15" s="1982">
        <f t="shared" si="2"/>
        <v>300</v>
      </c>
      <c r="Z15" s="1469"/>
      <c r="AA15" s="1977">
        <v>250</v>
      </c>
      <c r="AB15" s="1980">
        <f t="shared" si="3"/>
        <v>0.83333333333333337</v>
      </c>
    </row>
    <row r="16" spans="1:28" ht="13.5">
      <c r="A16" s="660"/>
      <c r="B16" s="4" t="str">
        <f t="shared" si="0"/>
        <v>Futterrüben -&gt; Eingabe bei Grundfutterproduktion !</v>
      </c>
      <c r="D16" s="694"/>
      <c r="E16" s="943" t="s">
        <v>957</v>
      </c>
      <c r="F16" s="973" t="s">
        <v>1229</v>
      </c>
      <c r="G16" s="1003"/>
      <c r="H16" s="1004"/>
      <c r="I16" s="166"/>
      <c r="J16" s="166"/>
      <c r="K16" s="166"/>
      <c r="L16" s="166"/>
      <c r="M16" s="3045">
        <v>523</v>
      </c>
      <c r="N16" s="1108"/>
      <c r="O16" s="306"/>
      <c r="P16" s="306"/>
      <c r="Q16" s="306"/>
      <c r="R16" s="306"/>
      <c r="S16" s="306"/>
      <c r="T16" s="306"/>
      <c r="U16" s="306"/>
      <c r="V16" s="306"/>
      <c r="W16" s="306"/>
      <c r="X16" s="306"/>
      <c r="Y16" s="1982">
        <f t="shared" si="2"/>
        <v>0</v>
      </c>
      <c r="Z16" s="1469"/>
      <c r="AA16" s="1977">
        <v>0</v>
      </c>
      <c r="AB16" s="1980" t="str">
        <f t="shared" si="1"/>
        <v/>
      </c>
    </row>
    <row r="17" spans="1:28" ht="13.5">
      <c r="A17" s="660"/>
      <c r="B17" s="4" t="str">
        <f t="shared" si="0"/>
        <v>Gründüngung (Nichtlegum., 35 dt TS)</v>
      </c>
      <c r="D17" s="694"/>
      <c r="E17" s="943" t="s">
        <v>958</v>
      </c>
      <c r="F17" s="972" t="s">
        <v>1622</v>
      </c>
      <c r="G17" s="1663" t="s">
        <v>57</v>
      </c>
      <c r="H17" s="1003"/>
      <c r="I17" s="1000">
        <v>0</v>
      </c>
      <c r="J17" s="1811">
        <v>0</v>
      </c>
      <c r="K17" s="1811">
        <v>0</v>
      </c>
      <c r="L17" s="1811">
        <v>0</v>
      </c>
      <c r="M17" s="3044"/>
      <c r="N17" s="1108"/>
      <c r="O17" s="306"/>
      <c r="P17" s="306"/>
      <c r="Q17" s="306"/>
      <c r="R17" s="306"/>
      <c r="S17" s="597" t="s">
        <v>538</v>
      </c>
      <c r="T17" s="306"/>
      <c r="U17" s="306"/>
      <c r="V17" s="306"/>
      <c r="W17" s="306"/>
      <c r="X17" s="306"/>
      <c r="Y17" s="1982">
        <f t="shared" si="2"/>
        <v>0</v>
      </c>
      <c r="Z17" s="1469"/>
      <c r="AA17" s="1977">
        <v>0</v>
      </c>
      <c r="AB17" s="1980" t="str">
        <f t="shared" si="1"/>
        <v/>
      </c>
    </row>
    <row r="18" spans="1:28" ht="13.5">
      <c r="A18" s="660"/>
      <c r="B18" s="4" t="str">
        <f t="shared" si="0"/>
        <v>Gründüngung (Leguminosen, 35 dt TS)</v>
      </c>
      <c r="D18" s="694"/>
      <c r="E18" s="943" t="s">
        <v>959</v>
      </c>
      <c r="F18" s="972" t="s">
        <v>1623</v>
      </c>
      <c r="G18" s="1663" t="s">
        <v>57</v>
      </c>
      <c r="H18" s="1003"/>
      <c r="I18" s="1000">
        <v>0</v>
      </c>
      <c r="J18" s="1811">
        <v>0</v>
      </c>
      <c r="K18" s="1811">
        <v>0</v>
      </c>
      <c r="L18" s="1811">
        <v>0</v>
      </c>
      <c r="M18" s="3044"/>
      <c r="N18" s="1108"/>
      <c r="O18" s="306"/>
      <c r="P18" s="306"/>
      <c r="Q18" s="306"/>
      <c r="R18" s="306"/>
      <c r="S18" s="597" t="s">
        <v>538</v>
      </c>
      <c r="T18" s="306"/>
      <c r="U18" s="306"/>
      <c r="V18" s="306"/>
      <c r="W18" s="306"/>
      <c r="X18" s="306"/>
      <c r="Y18" s="1982">
        <f t="shared" si="2"/>
        <v>0</v>
      </c>
      <c r="Z18" s="1469"/>
      <c r="AA18" s="1977">
        <v>0</v>
      </c>
      <c r="AB18" s="1980" t="str">
        <f t="shared" si="1"/>
        <v/>
      </c>
    </row>
    <row r="19" spans="1:28" ht="13.5">
      <c r="A19" s="660"/>
      <c r="B19" s="4" t="str">
        <f t="shared" si="0"/>
        <v>Grünmais (2. Kultur) -&gt; Eingabe bei Grundfutterproduktion !</v>
      </c>
      <c r="D19" s="694"/>
      <c r="E19" s="943" t="s">
        <v>960</v>
      </c>
      <c r="F19" s="972" t="s">
        <v>1468</v>
      </c>
      <c r="G19" s="1003"/>
      <c r="H19" s="972"/>
      <c r="I19" s="1000"/>
      <c r="J19" s="1001"/>
      <c r="K19" s="1001"/>
      <c r="L19" s="1001"/>
      <c r="M19" s="3044"/>
      <c r="N19" s="1108"/>
      <c r="O19" s="306"/>
      <c r="P19" s="306"/>
      <c r="Q19" s="306"/>
      <c r="R19" s="306"/>
      <c r="S19" s="306"/>
      <c r="T19" s="306"/>
      <c r="U19" s="306"/>
      <c r="V19" s="306"/>
      <c r="W19" s="306"/>
      <c r="X19" s="306"/>
      <c r="Y19" s="1982">
        <f t="shared" si="2"/>
        <v>0</v>
      </c>
      <c r="Z19" s="1469"/>
      <c r="AA19" s="1977">
        <v>0</v>
      </c>
      <c r="AB19" s="1980" t="str">
        <f t="shared" si="1"/>
        <v/>
      </c>
    </row>
    <row r="20" spans="1:28" ht="13.5">
      <c r="A20" s="660"/>
      <c r="B20" s="4" t="str">
        <f t="shared" si="0"/>
        <v>Hanf, Faser-</v>
      </c>
      <c r="D20" s="694"/>
      <c r="E20" s="943" t="s">
        <v>961</v>
      </c>
      <c r="F20" s="972" t="s">
        <v>962</v>
      </c>
      <c r="G20" s="2434" t="s">
        <v>1621</v>
      </c>
      <c r="H20" s="972">
        <v>100</v>
      </c>
      <c r="I20" s="1000">
        <v>100</v>
      </c>
      <c r="J20" s="1001">
        <v>0.3</v>
      </c>
      <c r="K20" s="1001">
        <v>0.9</v>
      </c>
      <c r="L20" s="1001">
        <v>0.05</v>
      </c>
      <c r="M20" s="3044">
        <v>576</v>
      </c>
      <c r="N20" s="1108"/>
      <c r="O20" s="306"/>
      <c r="P20" s="306"/>
      <c r="Q20" s="306"/>
      <c r="R20" s="306"/>
      <c r="S20" s="306"/>
      <c r="T20" s="306"/>
      <c r="U20" s="306"/>
      <c r="V20" s="306"/>
      <c r="W20" s="306"/>
      <c r="X20" s="306"/>
      <c r="Y20" s="1982">
        <f t="shared" si="2"/>
        <v>100</v>
      </c>
      <c r="Z20" s="1469"/>
      <c r="AA20" s="1977">
        <v>100</v>
      </c>
      <c r="AB20" s="1980">
        <f t="shared" si="1"/>
        <v>1</v>
      </c>
    </row>
    <row r="21" spans="1:28" ht="13.5">
      <c r="A21" s="660"/>
      <c r="B21" s="4" t="str">
        <f t="shared" si="0"/>
        <v>Hanf, Oel-</v>
      </c>
      <c r="D21" s="694"/>
      <c r="E21" s="943" t="s">
        <v>963</v>
      </c>
      <c r="F21" s="972" t="s">
        <v>964</v>
      </c>
      <c r="G21" s="1663" t="s">
        <v>948</v>
      </c>
      <c r="H21" s="1005">
        <v>13</v>
      </c>
      <c r="I21" s="1000">
        <v>60</v>
      </c>
      <c r="J21" s="1001">
        <v>2.54</v>
      </c>
      <c r="K21" s="1001">
        <v>1.08</v>
      </c>
      <c r="L21" s="972">
        <v>0.54</v>
      </c>
      <c r="M21" s="3044">
        <v>575</v>
      </c>
      <c r="N21" s="1108"/>
      <c r="O21" s="306"/>
      <c r="P21" s="306"/>
      <c r="Q21" s="306"/>
      <c r="R21" s="306"/>
      <c r="S21" s="306"/>
      <c r="T21" s="306"/>
      <c r="U21" s="306"/>
      <c r="V21" s="306"/>
      <c r="W21" s="306"/>
      <c r="X21" s="306"/>
      <c r="Y21" s="1982">
        <f t="shared" si="2"/>
        <v>13</v>
      </c>
      <c r="Z21" s="1469"/>
      <c r="AA21" s="1977">
        <v>13</v>
      </c>
      <c r="AB21" s="1980">
        <f t="shared" si="1"/>
        <v>1</v>
      </c>
    </row>
    <row r="22" spans="1:28" ht="13.5">
      <c r="A22" s="660"/>
      <c r="B22" s="4" t="str">
        <f t="shared" si="0"/>
        <v>Hirse</v>
      </c>
      <c r="D22" s="694"/>
      <c r="E22" s="943" t="s">
        <v>1600</v>
      </c>
      <c r="F22" s="972" t="s">
        <v>1599</v>
      </c>
      <c r="G22" s="1663" t="s">
        <v>948</v>
      </c>
      <c r="H22" s="1005">
        <v>35</v>
      </c>
      <c r="I22" s="1000">
        <v>70</v>
      </c>
      <c r="J22" s="1001">
        <v>0.66</v>
      </c>
      <c r="K22" s="1001">
        <v>0.28999999999999998</v>
      </c>
      <c r="L22" s="972">
        <v>0.11</v>
      </c>
      <c r="M22" s="3044">
        <v>578</v>
      </c>
      <c r="N22" s="1108"/>
      <c r="O22" s="306"/>
      <c r="P22" s="306"/>
      <c r="Q22" s="306"/>
      <c r="R22" s="306"/>
      <c r="S22" s="306"/>
      <c r="T22" s="306"/>
      <c r="U22" s="306"/>
      <c r="V22" s="306"/>
      <c r="W22" s="306"/>
      <c r="X22" s="306"/>
      <c r="Y22" s="1982">
        <f t="shared" si="2"/>
        <v>35</v>
      </c>
      <c r="Z22" s="1469"/>
      <c r="AA22" s="1977">
        <v>30</v>
      </c>
      <c r="AB22" s="1980">
        <f t="shared" ref="AB22:AB23" si="4">IF(AND(ISNUMBER(H22),H22&gt;0),IF(AA22/H22&lt;0.8,"Bio-Ertrag zu tief",AA22/H22),"")</f>
        <v>0.8571428571428571</v>
      </c>
    </row>
    <row r="23" spans="1:28" ht="13.5">
      <c r="A23" s="660"/>
      <c r="B23" s="4" t="str">
        <f t="shared" si="0"/>
        <v>Quinoa</v>
      </c>
      <c r="D23" s="694"/>
      <c r="E23" s="943" t="s">
        <v>1932</v>
      </c>
      <c r="F23" s="972" t="s">
        <v>1933</v>
      </c>
      <c r="G23" s="1663" t="s">
        <v>948</v>
      </c>
      <c r="H23" s="1005">
        <v>20</v>
      </c>
      <c r="I23" s="1000">
        <v>120</v>
      </c>
      <c r="J23" s="1001">
        <v>1.1499999999999999</v>
      </c>
      <c r="K23" s="1001">
        <v>1.4</v>
      </c>
      <c r="L23" s="1001">
        <v>0.47</v>
      </c>
      <c r="M23" s="3044">
        <v>574</v>
      </c>
      <c r="N23" s="1108"/>
      <c r="O23" s="306"/>
      <c r="P23" s="306"/>
      <c r="Q23" s="306"/>
      <c r="R23" s="306"/>
      <c r="S23" s="306"/>
      <c r="T23" s="306"/>
      <c r="U23" s="306"/>
      <c r="V23" s="306"/>
      <c r="W23" s="306"/>
      <c r="X23" s="306"/>
      <c r="Y23" s="1982">
        <f t="shared" si="2"/>
        <v>20</v>
      </c>
      <c r="Z23" s="1469"/>
      <c r="AA23" s="1977">
        <v>18</v>
      </c>
      <c r="AB23" s="1980">
        <f t="shared" si="4"/>
        <v>0.9</v>
      </c>
    </row>
    <row r="24" spans="1:28" ht="13.5">
      <c r="A24" s="660"/>
      <c r="B24" s="4" t="str">
        <f t="shared" si="0"/>
        <v>Kartoffeln Speise-, Verarb.-</v>
      </c>
      <c r="D24" s="694"/>
      <c r="E24" s="943" t="s">
        <v>965</v>
      </c>
      <c r="F24" s="972" t="s">
        <v>966</v>
      </c>
      <c r="G24" s="1663" t="s">
        <v>956</v>
      </c>
      <c r="H24" s="1005">
        <v>450</v>
      </c>
      <c r="I24" s="1000">
        <v>120</v>
      </c>
      <c r="J24" s="1001">
        <v>0.16</v>
      </c>
      <c r="K24" s="1001">
        <v>0.71</v>
      </c>
      <c r="L24" s="972">
        <v>0.03</v>
      </c>
      <c r="M24" s="3044">
        <v>524</v>
      </c>
      <c r="N24" s="1108" t="s">
        <v>1772</v>
      </c>
      <c r="O24" s="306"/>
      <c r="P24" s="306"/>
      <c r="Q24" s="306"/>
      <c r="R24" s="306"/>
      <c r="S24" s="306"/>
      <c r="T24" s="306"/>
      <c r="U24" s="306"/>
      <c r="V24" s="306"/>
      <c r="W24" s="306"/>
      <c r="X24" s="306"/>
      <c r="Y24" s="1982">
        <f t="shared" si="2"/>
        <v>450</v>
      </c>
      <c r="Z24" s="1469"/>
      <c r="AA24" s="1977">
        <v>370</v>
      </c>
      <c r="AB24" s="1980">
        <f t="shared" si="1"/>
        <v>0.82222222222222219</v>
      </c>
    </row>
    <row r="25" spans="1:28" ht="13.5">
      <c r="A25" s="660"/>
      <c r="B25" s="4" t="str">
        <f t="shared" si="0"/>
        <v>Kartoffeln Gruppe a, Speise-, Verarb.-</v>
      </c>
      <c r="D25" s="694"/>
      <c r="E25" s="943" t="s">
        <v>1601</v>
      </c>
      <c r="F25" s="972" t="s">
        <v>1605</v>
      </c>
      <c r="G25" s="1663" t="s">
        <v>956</v>
      </c>
      <c r="H25" s="1005">
        <v>450</v>
      </c>
      <c r="I25" s="1000">
        <v>80</v>
      </c>
      <c r="J25" s="1001">
        <v>0.16</v>
      </c>
      <c r="K25" s="1001">
        <v>0.71</v>
      </c>
      <c r="L25" s="972">
        <v>0.03</v>
      </c>
      <c r="M25" s="3044">
        <v>524</v>
      </c>
      <c r="N25" s="2558" t="s">
        <v>1994</v>
      </c>
      <c r="O25" s="306"/>
      <c r="P25" s="306"/>
      <c r="Q25" s="306"/>
      <c r="R25" s="306"/>
      <c r="S25" s="306"/>
      <c r="T25" s="306"/>
      <c r="U25" s="306"/>
      <c r="V25" s="306"/>
      <c r="W25" s="306"/>
      <c r="X25" s="306"/>
      <c r="Y25" s="1982">
        <f t="shared" si="2"/>
        <v>450</v>
      </c>
      <c r="Z25" s="1469"/>
      <c r="AA25" s="1977">
        <v>370</v>
      </c>
      <c r="AB25" s="1980">
        <f t="shared" ref="AB25:AB27" si="5">IF(AND(ISNUMBER(H25),H25&gt;0),IF(AA25/H25&lt;0.8,"Bio-Ertrag zu tief",AA25/H25),"")</f>
        <v>0.82222222222222219</v>
      </c>
    </row>
    <row r="26" spans="1:28" ht="13.5">
      <c r="A26" s="660"/>
      <c r="B26" s="4" t="str">
        <f t="shared" si="0"/>
        <v>Kartoffeln Gruppe b, Speise-, Verarb.-</v>
      </c>
      <c r="D26" s="694"/>
      <c r="E26" s="943" t="s">
        <v>1602</v>
      </c>
      <c r="F26" s="972" t="s">
        <v>1604</v>
      </c>
      <c r="G26" s="1663" t="s">
        <v>956</v>
      </c>
      <c r="H26" s="1005">
        <v>450</v>
      </c>
      <c r="I26" s="1000">
        <v>120</v>
      </c>
      <c r="J26" s="1001">
        <v>0.16</v>
      </c>
      <c r="K26" s="1001">
        <v>0.71</v>
      </c>
      <c r="L26" s="972">
        <v>0.03</v>
      </c>
      <c r="M26" s="3044">
        <v>524</v>
      </c>
      <c r="N26" s="2558" t="s">
        <v>1995</v>
      </c>
      <c r="O26" s="306"/>
      <c r="P26" s="306"/>
      <c r="Q26" s="306"/>
      <c r="R26" s="306"/>
      <c r="S26" s="306"/>
      <c r="T26" s="306"/>
      <c r="U26" s="306"/>
      <c r="V26" s="306"/>
      <c r="W26" s="306"/>
      <c r="X26" s="306"/>
      <c r="Y26" s="1982">
        <f t="shared" si="2"/>
        <v>450</v>
      </c>
      <c r="Z26" s="1469"/>
      <c r="AA26" s="1977">
        <v>370</v>
      </c>
      <c r="AB26" s="1980">
        <f t="shared" si="5"/>
        <v>0.82222222222222219</v>
      </c>
    </row>
    <row r="27" spans="1:28" ht="13.5">
      <c r="A27" s="660"/>
      <c r="B27" s="4" t="str">
        <f t="shared" si="0"/>
        <v>Kartoffeln Gruppe c, Speise-, Verarb.-</v>
      </c>
      <c r="D27" s="694"/>
      <c r="E27" s="943" t="s">
        <v>1603</v>
      </c>
      <c r="F27" s="972" t="s">
        <v>1606</v>
      </c>
      <c r="G27" s="1663" t="s">
        <v>956</v>
      </c>
      <c r="H27" s="1005">
        <v>450</v>
      </c>
      <c r="I27" s="1000">
        <v>160</v>
      </c>
      <c r="J27" s="1001">
        <v>0.16</v>
      </c>
      <c r="K27" s="1001">
        <v>0.71</v>
      </c>
      <c r="L27" s="972">
        <v>0.03</v>
      </c>
      <c r="M27" s="3044">
        <v>524</v>
      </c>
      <c r="N27" s="2558" t="s">
        <v>1996</v>
      </c>
      <c r="O27" s="306"/>
      <c r="P27" s="306"/>
      <c r="Q27" s="306"/>
      <c r="R27" s="306"/>
      <c r="S27" s="306"/>
      <c r="T27" s="306"/>
      <c r="U27" s="306"/>
      <c r="V27" s="306"/>
      <c r="W27" s="306"/>
      <c r="X27" s="306"/>
      <c r="Y27" s="1982">
        <f t="shared" si="2"/>
        <v>450</v>
      </c>
      <c r="Z27" s="1469"/>
      <c r="AA27" s="1977">
        <v>370</v>
      </c>
      <c r="AB27" s="1980">
        <f t="shared" si="5"/>
        <v>0.82222222222222219</v>
      </c>
    </row>
    <row r="28" spans="1:28" ht="13.5">
      <c r="A28" s="660"/>
      <c r="B28" s="4" t="str">
        <f t="shared" si="0"/>
        <v>Kenaf</v>
      </c>
      <c r="D28" s="694"/>
      <c r="E28" s="943" t="s">
        <v>967</v>
      </c>
      <c r="F28" s="972" t="s">
        <v>968</v>
      </c>
      <c r="G28" s="1663" t="s">
        <v>165</v>
      </c>
      <c r="H28" s="972">
        <v>50</v>
      </c>
      <c r="I28" s="1000">
        <v>70</v>
      </c>
      <c r="J28" s="1001">
        <v>1.2</v>
      </c>
      <c r="K28" s="1001">
        <v>1.6</v>
      </c>
      <c r="L28" s="1001">
        <v>0.2</v>
      </c>
      <c r="M28" s="3044">
        <v>552</v>
      </c>
      <c r="N28" s="1108"/>
      <c r="O28" s="306"/>
      <c r="P28" s="306"/>
      <c r="Q28" s="306"/>
      <c r="R28" s="306"/>
      <c r="S28" s="306"/>
      <c r="T28" s="306"/>
      <c r="U28" s="306"/>
      <c r="V28" s="306"/>
      <c r="W28" s="306"/>
      <c r="X28" s="306"/>
      <c r="Y28" s="1982">
        <f t="shared" si="2"/>
        <v>50</v>
      </c>
      <c r="Z28" s="1469"/>
      <c r="AA28" s="1977">
        <v>50</v>
      </c>
      <c r="AB28" s="1980">
        <f t="shared" si="1"/>
        <v>1</v>
      </c>
    </row>
    <row r="29" spans="1:28" ht="13.5">
      <c r="A29" s="660"/>
      <c r="B29" s="4" t="str">
        <f t="shared" si="0"/>
        <v>Korn (Dinkel)</v>
      </c>
      <c r="D29" s="694"/>
      <c r="E29" s="943" t="s">
        <v>969</v>
      </c>
      <c r="F29" s="972" t="s">
        <v>970</v>
      </c>
      <c r="G29" s="1663" t="s">
        <v>948</v>
      </c>
      <c r="H29" s="1005">
        <v>45</v>
      </c>
      <c r="I29" s="1000">
        <v>100</v>
      </c>
      <c r="J29" s="1001">
        <v>0.8</v>
      </c>
      <c r="K29" s="1001">
        <v>0.04</v>
      </c>
      <c r="L29" s="972">
        <v>0.11</v>
      </c>
      <c r="M29" s="3044">
        <v>516</v>
      </c>
      <c r="N29" s="1108"/>
      <c r="O29" s="306"/>
      <c r="P29" s="306"/>
      <c r="Q29" s="306"/>
      <c r="R29" s="306"/>
      <c r="S29" s="306"/>
      <c r="T29" s="306"/>
      <c r="U29" s="306"/>
      <c r="V29" s="306"/>
      <c r="W29" s="306"/>
      <c r="X29" s="306"/>
      <c r="Y29" s="1982">
        <f t="shared" si="2"/>
        <v>45</v>
      </c>
      <c r="Z29" s="1469"/>
      <c r="AA29" s="1977">
        <v>45</v>
      </c>
      <c r="AB29" s="1980">
        <f t="shared" si="1"/>
        <v>1</v>
      </c>
    </row>
    <row r="30" spans="1:28" ht="13.5">
      <c r="A30" s="660"/>
      <c r="B30" s="4" t="str">
        <f t="shared" si="0"/>
        <v>Körnermais (86% TS)</v>
      </c>
      <c r="D30" s="694"/>
      <c r="E30" s="943" t="s">
        <v>971</v>
      </c>
      <c r="F30" s="972" t="s">
        <v>972</v>
      </c>
      <c r="G30" s="1663" t="s">
        <v>948</v>
      </c>
      <c r="H30" s="1005">
        <v>100</v>
      </c>
      <c r="I30" s="1000">
        <v>110</v>
      </c>
      <c r="J30" s="972">
        <v>0.76</v>
      </c>
      <c r="K30" s="1001">
        <v>0.4</v>
      </c>
      <c r="L30" s="972">
        <v>0.09</v>
      </c>
      <c r="M30" s="3044">
        <v>508</v>
      </c>
      <c r="N30" s="1108"/>
      <c r="O30" s="657">
        <v>1.2</v>
      </c>
      <c r="P30" s="658">
        <v>135</v>
      </c>
      <c r="Q30" s="658">
        <f>(135-100)*1.2</f>
        <v>42</v>
      </c>
      <c r="R30" s="306"/>
      <c r="S30" s="306"/>
      <c r="T30" s="306"/>
      <c r="U30" s="306"/>
      <c r="V30" s="306"/>
      <c r="W30" s="306"/>
      <c r="X30" s="306"/>
      <c r="Y30" s="1982">
        <f t="shared" si="2"/>
        <v>100</v>
      </c>
      <c r="Z30" s="1469"/>
      <c r="AA30" s="1977">
        <v>80</v>
      </c>
      <c r="AB30" s="1980">
        <f t="shared" si="1"/>
        <v>0.8</v>
      </c>
    </row>
    <row r="31" spans="1:28" ht="13.5">
      <c r="A31" s="660"/>
      <c r="B31" s="4" t="str">
        <f t="shared" si="0"/>
        <v>Körnermais (86% TS), Nitratprojekt</v>
      </c>
      <c r="D31" s="694"/>
      <c r="E31" s="943" t="s">
        <v>1976</v>
      </c>
      <c r="F31" s="972" t="s">
        <v>1975</v>
      </c>
      <c r="G31" s="1663" t="s">
        <v>948</v>
      </c>
      <c r="H31" s="1005">
        <v>100</v>
      </c>
      <c r="I31" s="1000">
        <v>110</v>
      </c>
      <c r="J31" s="972">
        <v>0.76</v>
      </c>
      <c r="K31" s="1001">
        <v>0.4</v>
      </c>
      <c r="L31" s="972">
        <v>0.09</v>
      </c>
      <c r="M31" s="3044">
        <v>508</v>
      </c>
      <c r="N31" s="1108"/>
      <c r="O31" s="657">
        <v>1.2</v>
      </c>
      <c r="P31" s="3002">
        <v>100</v>
      </c>
      <c r="Q31" s="659">
        <v>0</v>
      </c>
      <c r="R31" s="306"/>
      <c r="S31" s="668" t="s">
        <v>24</v>
      </c>
      <c r="T31" s="306"/>
      <c r="U31" s="306"/>
      <c r="V31" s="306"/>
      <c r="W31" s="306"/>
      <c r="X31" s="306"/>
      <c r="Y31" s="1982">
        <f t="shared" si="2"/>
        <v>100</v>
      </c>
      <c r="Z31" s="1469"/>
      <c r="AA31" s="1977">
        <v>80</v>
      </c>
      <c r="AB31" s="1980">
        <f t="shared" si="1"/>
        <v>0.8</v>
      </c>
    </row>
    <row r="32" spans="1:28" ht="13.5">
      <c r="A32" s="660"/>
      <c r="B32" s="4" t="str">
        <f t="shared" si="0"/>
        <v>Lein, Faser-</v>
      </c>
      <c r="D32" s="694"/>
      <c r="E32" s="943" t="s">
        <v>973</v>
      </c>
      <c r="F32" s="972" t="s">
        <v>974</v>
      </c>
      <c r="G32" s="1663" t="s">
        <v>691</v>
      </c>
      <c r="H32" s="972">
        <v>45</v>
      </c>
      <c r="I32" s="1000">
        <v>60</v>
      </c>
      <c r="J32" s="1001">
        <v>0.71</v>
      </c>
      <c r="K32" s="1001">
        <v>2</v>
      </c>
      <c r="L32" s="1001">
        <v>0.2</v>
      </c>
      <c r="M32" s="3044">
        <v>534</v>
      </c>
      <c r="N32" s="1108"/>
      <c r="O32" s="306"/>
      <c r="P32" s="306"/>
      <c r="Q32" s="306"/>
      <c r="R32" s="306"/>
      <c r="S32" s="306"/>
      <c r="T32" s="306"/>
      <c r="U32" s="306"/>
      <c r="V32" s="306"/>
      <c r="W32" s="306"/>
      <c r="X32" s="306"/>
      <c r="Y32" s="1982">
        <f t="shared" si="2"/>
        <v>45</v>
      </c>
      <c r="Z32" s="1469"/>
      <c r="AA32" s="1977">
        <v>45</v>
      </c>
      <c r="AB32" s="1980">
        <f t="shared" si="1"/>
        <v>1</v>
      </c>
    </row>
    <row r="33" spans="1:28" ht="13.5">
      <c r="A33" s="660"/>
      <c r="B33" s="4" t="str">
        <f t="shared" si="0"/>
        <v>Lein, Oel-</v>
      </c>
      <c r="D33" s="694"/>
      <c r="E33" s="943" t="s">
        <v>975</v>
      </c>
      <c r="F33" s="972" t="s">
        <v>976</v>
      </c>
      <c r="G33" s="1663" t="s">
        <v>948</v>
      </c>
      <c r="H33" s="972">
        <v>20</v>
      </c>
      <c r="I33" s="1000">
        <v>80</v>
      </c>
      <c r="J33" s="1001">
        <v>1.2</v>
      </c>
      <c r="K33" s="1001">
        <v>0.95</v>
      </c>
      <c r="L33" s="1001">
        <v>0.05</v>
      </c>
      <c r="M33" s="3044">
        <v>534</v>
      </c>
      <c r="N33" s="1108"/>
      <c r="O33" s="306"/>
      <c r="P33" s="306"/>
      <c r="Q33" s="306"/>
      <c r="R33" s="306"/>
      <c r="S33" s="306"/>
      <c r="T33" s="306"/>
      <c r="U33" s="306"/>
      <c r="V33" s="306"/>
      <c r="W33" s="306"/>
      <c r="X33" s="306"/>
      <c r="Y33" s="1982">
        <f t="shared" si="2"/>
        <v>20</v>
      </c>
      <c r="Z33" s="1469"/>
      <c r="AA33" s="1977">
        <v>20</v>
      </c>
      <c r="AB33" s="1980">
        <f t="shared" si="1"/>
        <v>1</v>
      </c>
    </row>
    <row r="34" spans="1:28" ht="13.5">
      <c r="A34" s="660"/>
      <c r="B34" s="4" t="str">
        <f t="shared" si="0"/>
        <v>Nicht aufgeführte Kulturen (Leguminosen)</v>
      </c>
      <c r="D34" s="1105"/>
      <c r="E34" s="943" t="s">
        <v>1280</v>
      </c>
      <c r="F34" s="972" t="s">
        <v>1287</v>
      </c>
      <c r="G34" s="1663" t="s">
        <v>57</v>
      </c>
      <c r="H34" s="972"/>
      <c r="I34" s="1000">
        <v>0</v>
      </c>
      <c r="J34" s="972">
        <v>60</v>
      </c>
      <c r="K34" s="972">
        <v>120</v>
      </c>
      <c r="L34" s="972">
        <v>10</v>
      </c>
      <c r="M34" s="3044"/>
      <c r="N34" s="1108"/>
      <c r="O34" s="306"/>
      <c r="P34" s="306"/>
      <c r="Q34" s="306"/>
      <c r="R34" s="306"/>
      <c r="S34" s="597" t="s">
        <v>538</v>
      </c>
      <c r="T34" s="306"/>
      <c r="U34" s="306"/>
      <c r="V34" s="306"/>
      <c r="W34" s="306"/>
      <c r="X34" s="306"/>
      <c r="Y34" s="1982">
        <f t="shared" si="2"/>
        <v>0</v>
      </c>
      <c r="Z34" s="1469"/>
      <c r="AA34" s="1977">
        <v>0</v>
      </c>
      <c r="AB34" s="1980" t="str">
        <f t="shared" si="1"/>
        <v/>
      </c>
    </row>
    <row r="35" spans="1:28" ht="13.5">
      <c r="A35" s="660"/>
      <c r="B35" s="4" t="str">
        <f t="shared" si="0"/>
        <v>Nicht aufgeführte Kulturen (Nicht-Leg., Mischungen von Leg. und Nicht-Leg.)</v>
      </c>
      <c r="D35" s="1105"/>
      <c r="E35" s="943" t="s">
        <v>1281</v>
      </c>
      <c r="F35" s="972" t="s">
        <v>96</v>
      </c>
      <c r="G35" s="1663" t="s">
        <v>57</v>
      </c>
      <c r="H35" s="972"/>
      <c r="I35" s="1000">
        <v>80</v>
      </c>
      <c r="J35" s="972">
        <v>60</v>
      </c>
      <c r="K35" s="972">
        <v>120</v>
      </c>
      <c r="L35" s="972">
        <v>10</v>
      </c>
      <c r="M35" s="3046"/>
      <c r="N35" s="1108"/>
      <c r="O35" s="306"/>
      <c r="P35" s="306"/>
      <c r="Q35" s="306"/>
      <c r="R35" s="306"/>
      <c r="S35" s="597" t="s">
        <v>538</v>
      </c>
      <c r="T35" s="306"/>
      <c r="U35" s="306"/>
      <c r="V35" s="306"/>
      <c r="W35" s="306"/>
      <c r="X35" s="306"/>
      <c r="Y35" s="1982">
        <f t="shared" si="2"/>
        <v>0</v>
      </c>
      <c r="Z35" s="1469"/>
      <c r="AA35" s="1977">
        <v>0</v>
      </c>
      <c r="AB35" s="1980" t="str">
        <f t="shared" si="1"/>
        <v/>
      </c>
    </row>
    <row r="36" spans="1:28" ht="13.5">
      <c r="A36" s="660"/>
      <c r="B36" s="4" t="str">
        <f t="shared" si="0"/>
        <v>Raps Winter-</v>
      </c>
      <c r="D36" s="1105"/>
      <c r="E36" s="943" t="s">
        <v>1465</v>
      </c>
      <c r="F36" s="972" t="s">
        <v>686</v>
      </c>
      <c r="G36" s="1663" t="s">
        <v>948</v>
      </c>
      <c r="H36" s="972">
        <v>35</v>
      </c>
      <c r="I36" s="1000">
        <v>150</v>
      </c>
      <c r="J36" s="972">
        <v>1.43</v>
      </c>
      <c r="K36" s="972">
        <v>0.86</v>
      </c>
      <c r="L36" s="972">
        <v>0.23</v>
      </c>
      <c r="M36" s="3046" t="s">
        <v>687</v>
      </c>
      <c r="N36" s="1108"/>
      <c r="O36" s="657">
        <v>3</v>
      </c>
      <c r="P36" s="658">
        <v>45</v>
      </c>
      <c r="Q36" s="658">
        <f>(P36-H36)*O36</f>
        <v>30</v>
      </c>
      <c r="R36" s="306"/>
      <c r="S36" s="306"/>
      <c r="T36" s="306"/>
      <c r="U36" s="306"/>
      <c r="V36" s="306"/>
      <c r="W36" s="306"/>
      <c r="X36" s="306"/>
      <c r="Y36" s="1982">
        <f t="shared" si="2"/>
        <v>35</v>
      </c>
      <c r="Z36" s="1469"/>
      <c r="AA36" s="1977">
        <v>35</v>
      </c>
      <c r="AB36" s="1980">
        <f t="shared" si="1"/>
        <v>1</v>
      </c>
    </row>
    <row r="37" spans="1:28" ht="13.5">
      <c r="A37" s="660"/>
      <c r="B37" s="4" t="str">
        <f t="shared" si="0"/>
        <v>Raps Winter-, Nitrat-Projekt</v>
      </c>
      <c r="D37" s="1105"/>
      <c r="E37" s="943" t="s">
        <v>129</v>
      </c>
      <c r="F37" s="972" t="s">
        <v>1422</v>
      </c>
      <c r="G37" s="1663" t="s">
        <v>948</v>
      </c>
      <c r="H37" s="972">
        <v>35</v>
      </c>
      <c r="I37" s="1000">
        <v>150</v>
      </c>
      <c r="J37" s="972">
        <v>1.43</v>
      </c>
      <c r="K37" s="972">
        <v>0.86</v>
      </c>
      <c r="L37" s="972">
        <v>0.23</v>
      </c>
      <c r="M37" s="3046" t="s">
        <v>687</v>
      </c>
      <c r="N37" s="1108"/>
      <c r="O37" s="657">
        <v>3</v>
      </c>
      <c r="P37" s="659">
        <v>35</v>
      </c>
      <c r="Q37" s="659">
        <v>0</v>
      </c>
      <c r="R37" s="306"/>
      <c r="S37" s="668" t="s">
        <v>24</v>
      </c>
      <c r="T37" s="306"/>
      <c r="U37" s="306"/>
      <c r="V37" s="306"/>
      <c r="W37" s="306"/>
      <c r="X37" s="306"/>
      <c r="Y37" s="1982">
        <f t="shared" si="2"/>
        <v>35</v>
      </c>
      <c r="Z37" s="1469"/>
      <c r="AA37" s="1977">
        <v>35</v>
      </c>
      <c r="AB37" s="1980">
        <f t="shared" si="1"/>
        <v>1</v>
      </c>
    </row>
    <row r="38" spans="1:28" ht="13.5">
      <c r="A38" s="660"/>
      <c r="B38" s="4" t="str">
        <f t="shared" si="0"/>
        <v>Reis</v>
      </c>
      <c r="D38" s="1105"/>
      <c r="E38" s="943" t="s">
        <v>1187</v>
      </c>
      <c r="F38" s="972" t="s">
        <v>1624</v>
      </c>
      <c r="G38" s="1663" t="s">
        <v>948</v>
      </c>
      <c r="H38" s="972">
        <v>60</v>
      </c>
      <c r="I38" s="1000">
        <v>110</v>
      </c>
      <c r="J38" s="1001">
        <v>0.7</v>
      </c>
      <c r="K38" s="972">
        <v>0.53</v>
      </c>
      <c r="L38" s="972">
        <v>0.08</v>
      </c>
      <c r="M38" s="3046" t="s">
        <v>2115</v>
      </c>
      <c r="N38" s="1108"/>
      <c r="O38" s="2432"/>
      <c r="P38" s="2433"/>
      <c r="Q38" s="2433"/>
      <c r="R38" s="306"/>
      <c r="S38" s="668"/>
      <c r="T38" s="306"/>
      <c r="U38" s="306"/>
      <c r="V38" s="306"/>
      <c r="W38" s="306"/>
      <c r="X38" s="306"/>
      <c r="Y38" s="1982">
        <f t="shared" si="2"/>
        <v>60</v>
      </c>
      <c r="Z38" s="1469"/>
      <c r="AA38" s="1977">
        <v>60</v>
      </c>
      <c r="AB38" s="1980">
        <f t="shared" ref="AB38:AB42" si="6">IF(AND(ISNUMBER(H38),H38&gt;0),IF(AA38/H38&lt;0.8,"Bio-Ertrag zu tief",AA38/H38),"")</f>
        <v>1</v>
      </c>
    </row>
    <row r="39" spans="1:28" ht="13.5">
      <c r="A39" s="660"/>
      <c r="B39" s="4" t="str">
        <f t="shared" si="0"/>
        <v>Pflanzkartoffeln</v>
      </c>
      <c r="D39" s="1105"/>
      <c r="E39" s="943" t="s">
        <v>1617</v>
      </c>
      <c r="F39" s="972" t="s">
        <v>1613</v>
      </c>
      <c r="G39" s="1663" t="s">
        <v>956</v>
      </c>
      <c r="H39" s="972">
        <v>250</v>
      </c>
      <c r="I39" s="1000">
        <v>100</v>
      </c>
      <c r="J39" s="972">
        <v>0.19</v>
      </c>
      <c r="K39" s="972">
        <v>0.71</v>
      </c>
      <c r="L39" s="972">
        <v>0.03</v>
      </c>
      <c r="M39" s="3046">
        <v>524</v>
      </c>
      <c r="N39" s="1108" t="s">
        <v>1772</v>
      </c>
      <c r="O39" s="2432"/>
      <c r="P39" s="2433"/>
      <c r="Q39" s="2433"/>
      <c r="R39" s="2558" t="s">
        <v>1881</v>
      </c>
      <c r="S39" s="668"/>
      <c r="T39" s="306"/>
      <c r="U39" s="306"/>
      <c r="V39" s="306"/>
      <c r="W39" s="306"/>
      <c r="X39" s="306"/>
      <c r="Y39" s="1982">
        <f t="shared" si="2"/>
        <v>250</v>
      </c>
      <c r="Z39" s="1469"/>
      <c r="AA39" s="1977">
        <v>250</v>
      </c>
      <c r="AB39" s="1980">
        <f t="shared" si="6"/>
        <v>1</v>
      </c>
    </row>
    <row r="40" spans="1:28" ht="13.5">
      <c r="A40" s="660"/>
      <c r="B40" s="4" t="str">
        <f t="shared" si="0"/>
        <v>Pflanzkartoffeln Gruppe a</v>
      </c>
      <c r="D40" s="1105"/>
      <c r="E40" s="943" t="s">
        <v>1618</v>
      </c>
      <c r="F40" s="972" t="s">
        <v>1614</v>
      </c>
      <c r="G40" s="1663" t="s">
        <v>956</v>
      </c>
      <c r="H40" s="972">
        <v>250</v>
      </c>
      <c r="I40" s="1000">
        <v>60</v>
      </c>
      <c r="J40" s="972">
        <v>0.19</v>
      </c>
      <c r="K40" s="972">
        <v>0.71</v>
      </c>
      <c r="L40" s="972">
        <v>0.03</v>
      </c>
      <c r="M40" s="3046">
        <v>524</v>
      </c>
      <c r="N40" s="2558" t="s">
        <v>1994</v>
      </c>
      <c r="O40" s="2432"/>
      <c r="P40" s="2433"/>
      <c r="Q40" s="2433"/>
      <c r="R40" s="306"/>
      <c r="S40" s="668"/>
      <c r="T40" s="306"/>
      <c r="U40" s="306"/>
      <c r="V40" s="306"/>
      <c r="W40" s="306"/>
      <c r="X40" s="306"/>
      <c r="Y40" s="1982">
        <f t="shared" si="2"/>
        <v>250</v>
      </c>
      <c r="Z40" s="1469"/>
      <c r="AA40" s="1977">
        <v>250</v>
      </c>
      <c r="AB40" s="1980">
        <f t="shared" si="6"/>
        <v>1</v>
      </c>
    </row>
    <row r="41" spans="1:28" ht="13.5">
      <c r="A41" s="660"/>
      <c r="B41" s="4" t="str">
        <f t="shared" si="0"/>
        <v>Pflanzkartoffeln Gruppe b</v>
      </c>
      <c r="D41" s="1105"/>
      <c r="E41" s="943" t="s">
        <v>1619</v>
      </c>
      <c r="F41" s="972" t="s">
        <v>1615</v>
      </c>
      <c r="G41" s="1663" t="s">
        <v>956</v>
      </c>
      <c r="H41" s="972">
        <v>250</v>
      </c>
      <c r="I41" s="1000">
        <v>100</v>
      </c>
      <c r="J41" s="972">
        <v>0.19</v>
      </c>
      <c r="K41" s="972">
        <v>0.71</v>
      </c>
      <c r="L41" s="972">
        <v>0.03</v>
      </c>
      <c r="M41" s="3046">
        <v>524</v>
      </c>
      <c r="N41" s="2558" t="s">
        <v>1995</v>
      </c>
      <c r="O41" s="2432"/>
      <c r="P41" s="2433"/>
      <c r="Q41" s="2433"/>
      <c r="R41" s="306"/>
      <c r="S41" s="668"/>
      <c r="T41" s="306"/>
      <c r="U41" s="306"/>
      <c r="V41" s="306"/>
      <c r="W41" s="306"/>
      <c r="X41" s="306"/>
      <c r="Y41" s="1982">
        <f t="shared" si="2"/>
        <v>250</v>
      </c>
      <c r="Z41" s="1469"/>
      <c r="AA41" s="1977">
        <v>250</v>
      </c>
      <c r="AB41" s="1980">
        <f t="shared" si="6"/>
        <v>1</v>
      </c>
    </row>
    <row r="42" spans="1:28" ht="13.5">
      <c r="A42" s="660"/>
      <c r="B42" s="4" t="str">
        <f t="shared" si="0"/>
        <v>Pflanzkartoffeln Gruppe c</v>
      </c>
      <c r="D42" s="1105"/>
      <c r="E42" s="943" t="s">
        <v>1620</v>
      </c>
      <c r="F42" s="972" t="s">
        <v>1616</v>
      </c>
      <c r="G42" s="1663" t="s">
        <v>956</v>
      </c>
      <c r="H42" s="972">
        <v>250</v>
      </c>
      <c r="I42" s="1000">
        <v>140</v>
      </c>
      <c r="J42" s="972">
        <v>0.19</v>
      </c>
      <c r="K42" s="972">
        <v>0.71</v>
      </c>
      <c r="L42" s="972">
        <v>0.03</v>
      </c>
      <c r="M42" s="3046">
        <v>524</v>
      </c>
      <c r="N42" s="2558" t="s">
        <v>1996</v>
      </c>
      <c r="O42" s="2432"/>
      <c r="P42" s="2433"/>
      <c r="Q42" s="2433"/>
      <c r="R42" s="306"/>
      <c r="S42" s="668"/>
      <c r="T42" s="306"/>
      <c r="U42" s="306"/>
      <c r="V42" s="306"/>
      <c r="W42" s="306"/>
      <c r="X42" s="306"/>
      <c r="Y42" s="1982">
        <f t="shared" si="2"/>
        <v>250</v>
      </c>
      <c r="Z42" s="1469"/>
      <c r="AA42" s="1977">
        <v>250</v>
      </c>
      <c r="AB42" s="1980">
        <f t="shared" si="6"/>
        <v>1</v>
      </c>
    </row>
    <row r="43" spans="1:28" ht="13.5">
      <c r="A43" s="660"/>
      <c r="B43" s="4" t="str">
        <f t="shared" si="0"/>
        <v>Sommerraps</v>
      </c>
      <c r="D43" s="694"/>
      <c r="E43" s="943" t="s">
        <v>977</v>
      </c>
      <c r="F43" s="972" t="s">
        <v>978</v>
      </c>
      <c r="G43" s="1663" t="s">
        <v>948</v>
      </c>
      <c r="H43" s="972">
        <v>25</v>
      </c>
      <c r="I43" s="1000">
        <v>120</v>
      </c>
      <c r="J43" s="1001">
        <v>1.48</v>
      </c>
      <c r="K43" s="1001">
        <v>0.84</v>
      </c>
      <c r="L43" s="1001">
        <v>0.28000000000000003</v>
      </c>
      <c r="M43" s="3044" t="s">
        <v>688</v>
      </c>
      <c r="N43" s="1108"/>
      <c r="O43" s="306"/>
      <c r="P43" s="306"/>
      <c r="Q43" s="306"/>
      <c r="R43" s="306"/>
      <c r="S43" s="306"/>
      <c r="T43" s="306"/>
      <c r="U43" s="306"/>
      <c r="V43" s="306"/>
      <c r="W43" s="306"/>
      <c r="X43" s="306"/>
      <c r="Y43" s="1982">
        <f t="shared" si="2"/>
        <v>25</v>
      </c>
      <c r="Z43" s="1469"/>
      <c r="AA43" s="1977">
        <v>25</v>
      </c>
      <c r="AB43" s="1980">
        <f t="shared" si="1"/>
        <v>1</v>
      </c>
    </row>
    <row r="44" spans="1:28" ht="13.5">
      <c r="A44" s="660"/>
      <c r="B44" s="4" t="str">
        <f t="shared" si="0"/>
        <v>Silomais -&gt; Eingabe bei Grundfutterproduktion !</v>
      </c>
      <c r="D44" s="694"/>
      <c r="E44" s="943" t="s">
        <v>979</v>
      </c>
      <c r="F44" s="972" t="s">
        <v>1230</v>
      </c>
      <c r="G44" s="1003"/>
      <c r="H44" s="972"/>
      <c r="I44" s="1000"/>
      <c r="J44" s="1001"/>
      <c r="K44" s="1001"/>
      <c r="L44" s="1001"/>
      <c r="M44" s="3044"/>
      <c r="N44" s="1108"/>
      <c r="O44" s="306"/>
      <c r="P44" s="306"/>
      <c r="Q44" s="306"/>
      <c r="R44" s="306"/>
      <c r="S44" s="306"/>
      <c r="T44" s="306"/>
      <c r="U44" s="306"/>
      <c r="V44" s="306"/>
      <c r="W44" s="306"/>
      <c r="X44" s="306"/>
      <c r="Y44" s="1982">
        <f t="shared" si="2"/>
        <v>0</v>
      </c>
      <c r="Z44" s="1469"/>
      <c r="AA44" s="1977">
        <v>0</v>
      </c>
      <c r="AB44" s="1980" t="str">
        <f t="shared" si="1"/>
        <v/>
      </c>
    </row>
    <row r="45" spans="1:28" ht="13.5">
      <c r="A45" s="660"/>
      <c r="B45" s="4" t="str">
        <f t="shared" si="0"/>
        <v>Sojabohnen</v>
      </c>
      <c r="D45" s="694"/>
      <c r="E45" s="943" t="s">
        <v>980</v>
      </c>
      <c r="F45" s="972" t="s">
        <v>2118</v>
      </c>
      <c r="G45" s="1663" t="s">
        <v>948</v>
      </c>
      <c r="H45" s="972">
        <v>30</v>
      </c>
      <c r="I45" s="1000">
        <v>0</v>
      </c>
      <c r="J45" s="1001">
        <v>1.17</v>
      </c>
      <c r="K45" s="1001">
        <v>2.75</v>
      </c>
      <c r="L45" s="1001">
        <v>0.2</v>
      </c>
      <c r="M45" s="3044">
        <v>528</v>
      </c>
      <c r="N45" s="1108"/>
      <c r="O45" s="306"/>
      <c r="P45" s="306"/>
      <c r="Q45" s="306"/>
      <c r="R45" s="306"/>
      <c r="S45" s="306"/>
      <c r="T45" s="306"/>
      <c r="U45" s="306"/>
      <c r="V45" s="306"/>
      <c r="W45" s="306"/>
      <c r="X45" s="306"/>
      <c r="Y45" s="1982">
        <f t="shared" si="2"/>
        <v>30</v>
      </c>
      <c r="Z45" s="1469"/>
      <c r="AA45" s="1977">
        <v>30</v>
      </c>
      <c r="AB45" s="1980">
        <f t="shared" si="1"/>
        <v>1</v>
      </c>
    </row>
    <row r="46" spans="1:28" ht="13.5">
      <c r="A46" s="660"/>
      <c r="B46" s="4" t="str">
        <f t="shared" si="0"/>
        <v>Sommergerste</v>
      </c>
      <c r="D46" s="694"/>
      <c r="E46" s="943" t="s">
        <v>982</v>
      </c>
      <c r="F46" s="972" t="s">
        <v>983</v>
      </c>
      <c r="G46" s="1663" t="s">
        <v>948</v>
      </c>
      <c r="H46" s="972">
        <v>55</v>
      </c>
      <c r="I46" s="1000">
        <v>90</v>
      </c>
      <c r="J46" s="1001">
        <v>0.84</v>
      </c>
      <c r="K46" s="1001">
        <v>0.55000000000000004</v>
      </c>
      <c r="L46" s="1001">
        <v>0.11</v>
      </c>
      <c r="M46" s="3044">
        <v>501</v>
      </c>
      <c r="N46" s="1108"/>
      <c r="O46" s="306"/>
      <c r="P46" s="306"/>
      <c r="Q46" s="306"/>
      <c r="R46" s="306"/>
      <c r="S46" s="306"/>
      <c r="T46" s="306"/>
      <c r="U46" s="306"/>
      <c r="V46" s="306"/>
      <c r="W46" s="306"/>
      <c r="X46" s="306"/>
      <c r="Y46" s="1982">
        <f t="shared" si="2"/>
        <v>55</v>
      </c>
      <c r="Z46" s="1469"/>
      <c r="AA46" s="1977">
        <v>45</v>
      </c>
      <c r="AB46" s="1980">
        <f t="shared" si="1"/>
        <v>0.81818181818181823</v>
      </c>
    </row>
    <row r="47" spans="1:28" ht="13.5">
      <c r="A47" s="660"/>
      <c r="B47" s="4" t="str">
        <f t="shared" si="0"/>
        <v>Sommerhafer</v>
      </c>
      <c r="D47" s="694"/>
      <c r="E47" s="943" t="s">
        <v>1464</v>
      </c>
      <c r="F47" s="972" t="s">
        <v>683</v>
      </c>
      <c r="G47" s="1663" t="s">
        <v>948</v>
      </c>
      <c r="H47" s="972">
        <v>55</v>
      </c>
      <c r="I47" s="1000">
        <v>90</v>
      </c>
      <c r="J47" s="1001">
        <v>0.8</v>
      </c>
      <c r="K47" s="1001">
        <v>0.51</v>
      </c>
      <c r="L47" s="1001">
        <v>0.11</v>
      </c>
      <c r="M47" s="3044">
        <v>504</v>
      </c>
      <c r="N47" s="1108"/>
      <c r="O47" s="306"/>
      <c r="P47" s="306"/>
      <c r="Q47" s="306"/>
      <c r="R47" s="306"/>
      <c r="S47" s="306"/>
      <c r="T47" s="306"/>
      <c r="U47" s="306"/>
      <c r="V47" s="306"/>
      <c r="W47" s="306"/>
      <c r="X47" s="306"/>
      <c r="Y47" s="1982">
        <f t="shared" si="2"/>
        <v>55</v>
      </c>
      <c r="Z47" s="1469"/>
      <c r="AA47" s="1977">
        <v>50</v>
      </c>
      <c r="AB47" s="1980">
        <f t="shared" si="1"/>
        <v>0.90909090909090906</v>
      </c>
    </row>
    <row r="48" spans="1:28" ht="13.5">
      <c r="A48" s="660"/>
      <c r="B48" s="4" t="str">
        <f t="shared" si="0"/>
        <v>Sommertriticale</v>
      </c>
      <c r="D48" s="694"/>
      <c r="E48" s="943" t="s">
        <v>984</v>
      </c>
      <c r="F48" s="972" t="s">
        <v>985</v>
      </c>
      <c r="G48" s="1663" t="s">
        <v>948</v>
      </c>
      <c r="H48" s="972">
        <v>55</v>
      </c>
      <c r="I48" s="1000">
        <v>100</v>
      </c>
      <c r="J48" s="1001">
        <v>0.71</v>
      </c>
      <c r="K48" s="1001">
        <v>0.49</v>
      </c>
      <c r="L48" s="1001">
        <v>0.09</v>
      </c>
      <c r="M48" s="3044">
        <v>505</v>
      </c>
      <c r="N48" s="1108"/>
      <c r="O48" s="306"/>
      <c r="P48" s="306"/>
      <c r="Q48" s="306"/>
      <c r="R48" s="306"/>
      <c r="S48" s="306"/>
      <c r="T48" s="306"/>
      <c r="U48" s="306"/>
      <c r="V48" s="306"/>
      <c r="W48" s="306"/>
      <c r="X48" s="306"/>
      <c r="Y48" s="1982">
        <f t="shared" si="2"/>
        <v>55</v>
      </c>
      <c r="Z48" s="1469"/>
      <c r="AA48" s="1977">
        <v>45</v>
      </c>
      <c r="AB48" s="1980">
        <f t="shared" si="1"/>
        <v>0.81818181818181823</v>
      </c>
    </row>
    <row r="49" spans="1:28" ht="13.5">
      <c r="A49" s="660"/>
      <c r="B49" s="4" t="str">
        <f t="shared" si="0"/>
        <v>Sommerweizen</v>
      </c>
      <c r="D49" s="694"/>
      <c r="E49" s="943" t="s">
        <v>986</v>
      </c>
      <c r="F49" s="972" t="s">
        <v>987</v>
      </c>
      <c r="G49" s="1663" t="s">
        <v>948</v>
      </c>
      <c r="H49" s="972">
        <v>50</v>
      </c>
      <c r="I49" s="1000">
        <v>120</v>
      </c>
      <c r="J49" s="1001">
        <v>0.82</v>
      </c>
      <c r="K49" s="1001">
        <v>0.44</v>
      </c>
      <c r="L49" s="1001">
        <v>0.12</v>
      </c>
      <c r="M49" s="3044">
        <v>512</v>
      </c>
      <c r="N49" s="1108"/>
      <c r="O49" s="306"/>
      <c r="P49" s="306"/>
      <c r="Q49" s="306"/>
      <c r="R49" s="306"/>
      <c r="S49" s="306"/>
      <c r="T49" s="306"/>
      <c r="U49" s="306"/>
      <c r="V49" s="306"/>
      <c r="W49" s="306"/>
      <c r="X49" s="306"/>
      <c r="Y49" s="1982">
        <f t="shared" si="2"/>
        <v>50</v>
      </c>
      <c r="Z49" s="1469"/>
      <c r="AA49" s="1977">
        <v>45</v>
      </c>
      <c r="AB49" s="1980">
        <f t="shared" si="1"/>
        <v>0.9</v>
      </c>
    </row>
    <row r="50" spans="1:28" ht="13.5">
      <c r="A50" s="660"/>
      <c r="B50" s="4" t="str">
        <f t="shared" si="0"/>
        <v>Sonnenblumen</v>
      </c>
      <c r="D50" s="694"/>
      <c r="E50" s="943" t="s">
        <v>988</v>
      </c>
      <c r="F50" s="972" t="s">
        <v>989</v>
      </c>
      <c r="G50" s="1663" t="s">
        <v>948</v>
      </c>
      <c r="H50" s="972">
        <v>30</v>
      </c>
      <c r="I50" s="1000">
        <v>60</v>
      </c>
      <c r="J50" s="1001">
        <v>1.1000000000000001</v>
      </c>
      <c r="K50" s="1001">
        <v>0.83</v>
      </c>
      <c r="L50" s="1001">
        <v>0.3</v>
      </c>
      <c r="M50" s="3044" t="s">
        <v>689</v>
      </c>
      <c r="N50" s="1108"/>
      <c r="O50" s="306"/>
      <c r="P50" s="306"/>
      <c r="Q50" s="306"/>
      <c r="R50" s="306"/>
      <c r="S50" s="306"/>
      <c r="T50" s="306"/>
      <c r="U50" s="306"/>
      <c r="V50" s="306"/>
      <c r="W50" s="306"/>
      <c r="X50" s="306"/>
      <c r="Y50" s="1982">
        <f t="shared" si="2"/>
        <v>30</v>
      </c>
      <c r="Z50" s="1469"/>
      <c r="AA50" s="1977">
        <v>30</v>
      </c>
      <c r="AB50" s="1980">
        <f t="shared" si="1"/>
        <v>1</v>
      </c>
    </row>
    <row r="51" spans="1:28" ht="13.5">
      <c r="A51" s="660"/>
      <c r="B51" s="4" t="str">
        <f t="shared" si="0"/>
        <v>Süsslupine</v>
      </c>
      <c r="D51" s="694"/>
      <c r="E51" s="943" t="s">
        <v>990</v>
      </c>
      <c r="F51" s="972" t="s">
        <v>991</v>
      </c>
      <c r="G51" s="1663" t="s">
        <v>948</v>
      </c>
      <c r="H51" s="972">
        <v>30</v>
      </c>
      <c r="I51" s="1000">
        <v>0</v>
      </c>
      <c r="J51" s="1001">
        <v>1</v>
      </c>
      <c r="K51" s="1001">
        <v>2.04</v>
      </c>
      <c r="L51" s="1001">
        <v>0.2</v>
      </c>
      <c r="M51" s="3044">
        <v>538</v>
      </c>
      <c r="N51" s="1108"/>
      <c r="O51" s="306"/>
      <c r="P51" s="306"/>
      <c r="Q51" s="306"/>
      <c r="R51" s="306"/>
      <c r="S51" s="306"/>
      <c r="T51" s="306"/>
      <c r="U51" s="306"/>
      <c r="V51" s="306"/>
      <c r="W51" s="306"/>
      <c r="X51" s="306"/>
      <c r="Y51" s="1982">
        <f t="shared" si="2"/>
        <v>30</v>
      </c>
      <c r="Z51" s="1469"/>
      <c r="AA51" s="1977">
        <v>30</v>
      </c>
      <c r="AB51" s="1980">
        <f t="shared" si="1"/>
        <v>1</v>
      </c>
    </row>
    <row r="52" spans="1:28" ht="13.5">
      <c r="A52" s="660"/>
      <c r="B52" s="4" t="str">
        <f t="shared" si="0"/>
        <v>Tabak Burley</v>
      </c>
      <c r="D52" s="694"/>
      <c r="E52" s="943" t="s">
        <v>992</v>
      </c>
      <c r="F52" s="972" t="s">
        <v>993</v>
      </c>
      <c r="G52" s="1664" t="s">
        <v>692</v>
      </c>
      <c r="H52" s="972">
        <v>25</v>
      </c>
      <c r="I52" s="1000">
        <v>170</v>
      </c>
      <c r="J52" s="1001">
        <v>0.72</v>
      </c>
      <c r="K52" s="1001">
        <v>5</v>
      </c>
      <c r="L52" s="1001">
        <v>0.28000000000000003</v>
      </c>
      <c r="M52" s="3044">
        <v>541</v>
      </c>
      <c r="N52" s="1108"/>
      <c r="O52" s="306"/>
      <c r="P52" s="306"/>
      <c r="Q52" s="306"/>
      <c r="R52" s="306"/>
      <c r="S52" s="306"/>
      <c r="T52" s="306"/>
      <c r="U52" s="306"/>
      <c r="V52" s="306"/>
      <c r="W52" s="306"/>
      <c r="X52" s="306"/>
      <c r="Y52" s="1982">
        <f t="shared" si="2"/>
        <v>25</v>
      </c>
      <c r="Z52" s="1469"/>
      <c r="AA52" s="1977">
        <v>25</v>
      </c>
      <c r="AB52" s="1980">
        <f t="shared" si="1"/>
        <v>1</v>
      </c>
    </row>
    <row r="53" spans="1:28" ht="13.5">
      <c r="A53" s="660"/>
      <c r="B53" s="4" t="str">
        <f t="shared" si="0"/>
        <v>Tabak Virginie</v>
      </c>
      <c r="D53" s="694"/>
      <c r="E53" s="943" t="s">
        <v>994</v>
      </c>
      <c r="F53" s="972" t="s">
        <v>2128</v>
      </c>
      <c r="G53" s="1664" t="s">
        <v>692</v>
      </c>
      <c r="H53" s="972">
        <v>25</v>
      </c>
      <c r="I53" s="1000">
        <v>30</v>
      </c>
      <c r="J53" s="1001">
        <v>0.56000000000000005</v>
      </c>
      <c r="K53" s="1001">
        <v>4.76</v>
      </c>
      <c r="L53" s="1001">
        <v>0.2</v>
      </c>
      <c r="M53" s="3044">
        <v>541</v>
      </c>
      <c r="N53" s="1108"/>
      <c r="O53" s="306"/>
      <c r="P53" s="306"/>
      <c r="Q53" s="306"/>
      <c r="R53" s="306"/>
      <c r="S53" s="306"/>
      <c r="T53" s="306"/>
      <c r="U53" s="306"/>
      <c r="V53" s="306"/>
      <c r="W53" s="306"/>
      <c r="X53" s="306"/>
      <c r="Y53" s="1982">
        <f t="shared" si="2"/>
        <v>25</v>
      </c>
      <c r="Z53" s="1469"/>
      <c r="AA53" s="1977">
        <v>25</v>
      </c>
      <c r="AB53" s="1980">
        <f t="shared" si="1"/>
        <v>1</v>
      </c>
    </row>
    <row r="54" spans="1:28" ht="13.5">
      <c r="A54" s="660"/>
      <c r="B54" s="4" t="str">
        <f t="shared" si="0"/>
        <v>Winterhafer</v>
      </c>
      <c r="D54" s="694"/>
      <c r="E54" s="943" t="s">
        <v>1462</v>
      </c>
      <c r="F54" s="972" t="s">
        <v>682</v>
      </c>
      <c r="G54" s="1663" t="s">
        <v>948</v>
      </c>
      <c r="H54" s="972">
        <v>55</v>
      </c>
      <c r="I54" s="1000">
        <v>90</v>
      </c>
      <c r="J54" s="1001">
        <v>0.8</v>
      </c>
      <c r="K54" s="2623">
        <v>0</v>
      </c>
      <c r="L54" s="1001">
        <v>0.11</v>
      </c>
      <c r="M54" s="3044">
        <v>504</v>
      </c>
      <c r="N54" s="2559"/>
      <c r="O54" s="306"/>
      <c r="P54" s="306"/>
      <c r="Q54" s="306"/>
      <c r="R54" s="306"/>
      <c r="S54" s="306"/>
      <c r="T54" s="306"/>
      <c r="U54" s="306"/>
      <c r="V54" s="306"/>
      <c r="W54" s="306"/>
      <c r="X54" s="306"/>
      <c r="Y54" s="1982">
        <f t="shared" si="2"/>
        <v>55</v>
      </c>
      <c r="Z54" s="1469"/>
      <c r="AA54" s="1977">
        <v>50</v>
      </c>
      <c r="AB54" s="1980">
        <f t="shared" si="1"/>
        <v>0.90909090909090906</v>
      </c>
    </row>
    <row r="55" spans="1:28" ht="13.5">
      <c r="A55" s="660"/>
      <c r="B55" s="4" t="str">
        <f t="shared" si="0"/>
        <v>Wintergerste</v>
      </c>
      <c r="D55" s="694"/>
      <c r="E55" s="943" t="s">
        <v>995</v>
      </c>
      <c r="F55" s="972" t="s">
        <v>996</v>
      </c>
      <c r="G55" s="1663" t="s">
        <v>948</v>
      </c>
      <c r="H55" s="972">
        <v>60</v>
      </c>
      <c r="I55" s="1000">
        <v>110</v>
      </c>
      <c r="J55" s="1001">
        <v>0.85</v>
      </c>
      <c r="K55" s="1001">
        <v>0.11</v>
      </c>
      <c r="L55" s="1001">
        <v>0.12</v>
      </c>
      <c r="M55" s="3044">
        <v>502</v>
      </c>
      <c r="N55" s="1108"/>
      <c r="O55" s="657">
        <v>0.7</v>
      </c>
      <c r="P55" s="658">
        <v>90</v>
      </c>
      <c r="Q55" s="658">
        <f>(P55-H55)*O55</f>
        <v>21</v>
      </c>
      <c r="R55" s="306"/>
      <c r="S55" s="306"/>
      <c r="T55" s="306"/>
      <c r="U55" s="306"/>
      <c r="V55" s="306"/>
      <c r="W55" s="306"/>
      <c r="X55" s="306"/>
      <c r="Y55" s="1982">
        <f t="shared" si="2"/>
        <v>60</v>
      </c>
      <c r="Z55" s="1469"/>
      <c r="AA55" s="1977">
        <v>48</v>
      </c>
      <c r="AB55" s="1980">
        <f t="shared" si="1"/>
        <v>0.8</v>
      </c>
    </row>
    <row r="56" spans="1:28" ht="13.5">
      <c r="A56" s="660"/>
      <c r="B56" s="4" t="str">
        <f t="shared" si="0"/>
        <v>Wintergerste, Nitrat-Projekt</v>
      </c>
      <c r="D56" s="694"/>
      <c r="E56" s="943" t="s">
        <v>1984</v>
      </c>
      <c r="F56" s="972" t="s">
        <v>1978</v>
      </c>
      <c r="G56" s="1663" t="s">
        <v>948</v>
      </c>
      <c r="H56" s="972">
        <v>60</v>
      </c>
      <c r="I56" s="1000">
        <v>110</v>
      </c>
      <c r="J56" s="1001">
        <v>0.85</v>
      </c>
      <c r="K56" s="1001">
        <v>0.11</v>
      </c>
      <c r="L56" s="1001">
        <v>0.12</v>
      </c>
      <c r="M56" s="3044">
        <v>502</v>
      </c>
      <c r="N56" s="1108"/>
      <c r="O56" s="657">
        <v>0.7</v>
      </c>
      <c r="P56" s="659">
        <v>60</v>
      </c>
      <c r="Q56" s="659">
        <v>0</v>
      </c>
      <c r="R56" s="306"/>
      <c r="S56" s="668" t="s">
        <v>24</v>
      </c>
      <c r="T56" s="306"/>
      <c r="U56" s="306"/>
      <c r="V56" s="306"/>
      <c r="W56" s="306"/>
      <c r="X56" s="306"/>
      <c r="Y56" s="1982">
        <f t="shared" si="2"/>
        <v>60</v>
      </c>
      <c r="Z56" s="1469"/>
      <c r="AA56" s="1977">
        <v>48</v>
      </c>
      <c r="AB56" s="1980">
        <f t="shared" si="1"/>
        <v>0.8</v>
      </c>
    </row>
    <row r="57" spans="1:28" ht="13.5">
      <c r="A57" s="660"/>
      <c r="B57" s="4" t="str">
        <f t="shared" si="0"/>
        <v>Winterroggen (Populationssorten)</v>
      </c>
      <c r="D57" s="694"/>
      <c r="E57" s="943" t="s">
        <v>1463</v>
      </c>
      <c r="F57" s="972" t="s">
        <v>684</v>
      </c>
      <c r="G57" s="1663" t="s">
        <v>948</v>
      </c>
      <c r="H57" s="972">
        <v>55</v>
      </c>
      <c r="I57" s="1000">
        <v>90</v>
      </c>
      <c r="J57" s="1001">
        <v>0.8</v>
      </c>
      <c r="K57" s="1001">
        <v>0.1</v>
      </c>
      <c r="L57" s="1001">
        <v>0.11</v>
      </c>
      <c r="M57" s="3044">
        <v>514</v>
      </c>
      <c r="N57" s="1108"/>
      <c r="O57" s="657">
        <v>0.8</v>
      </c>
      <c r="P57" s="658">
        <v>80</v>
      </c>
      <c r="Q57" s="658">
        <f>(P57-H57)*O57</f>
        <v>20</v>
      </c>
      <c r="R57" s="306"/>
      <c r="S57" s="306"/>
      <c r="T57" s="306"/>
      <c r="U57" s="306"/>
      <c r="V57" s="306"/>
      <c r="W57" s="306"/>
      <c r="X57" s="306"/>
      <c r="Y57" s="1982">
        <f t="shared" si="2"/>
        <v>55</v>
      </c>
      <c r="Z57" s="1469"/>
      <c r="AA57" s="1977">
        <v>50</v>
      </c>
      <c r="AB57" s="1980">
        <f t="shared" si="1"/>
        <v>0.90909090909090906</v>
      </c>
    </row>
    <row r="58" spans="1:28" ht="13.5">
      <c r="A58" s="660"/>
      <c r="B58" s="4" t="str">
        <f t="shared" si="0"/>
        <v>Winterroggen (Populationssorten), Nitrat-Projekt</v>
      </c>
      <c r="D58" s="694"/>
      <c r="E58" s="943" t="s">
        <v>1985</v>
      </c>
      <c r="F58" s="972" t="s">
        <v>1979</v>
      </c>
      <c r="G58" s="1663" t="s">
        <v>948</v>
      </c>
      <c r="H58" s="972">
        <v>55</v>
      </c>
      <c r="I58" s="1000">
        <v>90</v>
      </c>
      <c r="J58" s="1001">
        <v>0.8</v>
      </c>
      <c r="K58" s="1001">
        <v>0.1</v>
      </c>
      <c r="L58" s="1001">
        <v>0.11</v>
      </c>
      <c r="M58" s="3044">
        <v>514</v>
      </c>
      <c r="N58" s="1108"/>
      <c r="O58" s="657">
        <v>0.8</v>
      </c>
      <c r="P58" s="659">
        <v>55</v>
      </c>
      <c r="Q58" s="659">
        <v>0</v>
      </c>
      <c r="R58" s="306"/>
      <c r="S58" s="668" t="s">
        <v>24</v>
      </c>
      <c r="T58" s="306"/>
      <c r="U58" s="306"/>
      <c r="V58" s="306"/>
      <c r="W58" s="306"/>
      <c r="X58" s="306"/>
      <c r="Y58" s="1982">
        <f t="shared" si="2"/>
        <v>55</v>
      </c>
      <c r="Z58" s="1469"/>
      <c r="AA58" s="1977">
        <v>50</v>
      </c>
      <c r="AB58" s="1980">
        <f t="shared" si="1"/>
        <v>0.90909090909090906</v>
      </c>
    </row>
    <row r="59" spans="1:28" ht="13.5">
      <c r="A59" s="660"/>
      <c r="B59" s="4" t="str">
        <f t="shared" si="0"/>
        <v>Winterroggen (Hybridsorten)</v>
      </c>
      <c r="D59" s="694"/>
      <c r="E59" s="943" t="s">
        <v>1466</v>
      </c>
      <c r="F59" s="972" t="s">
        <v>685</v>
      </c>
      <c r="G59" s="1663" t="s">
        <v>948</v>
      </c>
      <c r="H59" s="972">
        <v>65</v>
      </c>
      <c r="I59" s="1000">
        <v>90</v>
      </c>
      <c r="J59" s="1001">
        <v>0.8</v>
      </c>
      <c r="K59" s="1001">
        <v>0.13</v>
      </c>
      <c r="L59" s="1001">
        <v>0.11</v>
      </c>
      <c r="M59" s="3044">
        <v>514</v>
      </c>
      <c r="N59" s="1108"/>
      <c r="O59" s="657">
        <v>1.2</v>
      </c>
      <c r="P59" s="658">
        <v>90</v>
      </c>
      <c r="Q59" s="658">
        <f>(P59-H59)*O59</f>
        <v>30</v>
      </c>
      <c r="R59" s="306"/>
      <c r="S59" s="306"/>
      <c r="T59" s="306"/>
      <c r="U59" s="306"/>
      <c r="V59" s="306"/>
      <c r="W59" s="306"/>
      <c r="X59" s="306"/>
      <c r="Y59" s="1982">
        <f t="shared" si="2"/>
        <v>65</v>
      </c>
      <c r="Z59" s="1469"/>
      <c r="AA59" s="1977">
        <v>55</v>
      </c>
      <c r="AB59" s="1980">
        <f t="shared" si="1"/>
        <v>0.84615384615384615</v>
      </c>
    </row>
    <row r="60" spans="1:28" ht="13.5">
      <c r="A60" s="660"/>
      <c r="B60" s="4" t="str">
        <f t="shared" si="0"/>
        <v>Winterroggen (Hybridsorten), Nitrat-Projekt</v>
      </c>
      <c r="D60" s="694"/>
      <c r="E60" s="943" t="s">
        <v>1986</v>
      </c>
      <c r="F60" s="972" t="s">
        <v>1980</v>
      </c>
      <c r="G60" s="1663" t="s">
        <v>948</v>
      </c>
      <c r="H60" s="972">
        <v>65</v>
      </c>
      <c r="I60" s="1000">
        <v>90</v>
      </c>
      <c r="J60" s="1001">
        <v>0.8</v>
      </c>
      <c r="K60" s="1001">
        <v>0.13</v>
      </c>
      <c r="L60" s="1001">
        <v>0.11</v>
      </c>
      <c r="M60" s="3044">
        <v>514</v>
      </c>
      <c r="N60" s="1108"/>
      <c r="O60" s="657">
        <v>1.2</v>
      </c>
      <c r="P60" s="659">
        <v>65</v>
      </c>
      <c r="Q60" s="659">
        <v>0</v>
      </c>
      <c r="R60" s="306"/>
      <c r="S60" s="668" t="s">
        <v>24</v>
      </c>
      <c r="T60" s="306"/>
      <c r="U60" s="306"/>
      <c r="V60" s="306"/>
      <c r="W60" s="306"/>
      <c r="X60" s="306"/>
      <c r="Y60" s="1982">
        <f t="shared" si="2"/>
        <v>65</v>
      </c>
      <c r="Z60" s="1469"/>
      <c r="AA60" s="1977">
        <v>55</v>
      </c>
      <c r="AB60" s="1980">
        <f t="shared" si="1"/>
        <v>0.84615384615384615</v>
      </c>
    </row>
    <row r="61" spans="1:28" ht="13.5">
      <c r="A61" s="660"/>
      <c r="B61" s="4" t="str">
        <f t="shared" si="0"/>
        <v>Wintertriticale</v>
      </c>
      <c r="D61" s="694"/>
      <c r="E61" s="943" t="s">
        <v>997</v>
      </c>
      <c r="F61" s="972" t="s">
        <v>998</v>
      </c>
      <c r="G61" s="1663" t="s">
        <v>948</v>
      </c>
      <c r="H61" s="972">
        <v>60</v>
      </c>
      <c r="I61" s="1000">
        <v>110</v>
      </c>
      <c r="J61" s="1001">
        <v>0.72</v>
      </c>
      <c r="K61" s="2623">
        <v>0</v>
      </c>
      <c r="L61" s="1001">
        <v>0.08</v>
      </c>
      <c r="M61" s="3044">
        <v>505</v>
      </c>
      <c r="N61" s="2559"/>
      <c r="O61" s="657">
        <v>0.3</v>
      </c>
      <c r="P61" s="658">
        <v>95</v>
      </c>
      <c r="Q61" s="658">
        <f>(P61-H61)*O61</f>
        <v>10.5</v>
      </c>
      <c r="R61" s="306"/>
      <c r="S61" s="306"/>
      <c r="T61" s="306"/>
      <c r="U61" s="306"/>
      <c r="V61" s="306"/>
      <c r="W61" s="306"/>
      <c r="X61" s="306"/>
      <c r="Y61" s="1982">
        <f t="shared" si="2"/>
        <v>60</v>
      </c>
      <c r="Z61" s="1469"/>
      <c r="AA61" s="1977">
        <v>50</v>
      </c>
      <c r="AB61" s="1980">
        <f t="shared" si="1"/>
        <v>0.83333333333333337</v>
      </c>
    </row>
    <row r="62" spans="1:28" ht="13.5">
      <c r="A62" s="660"/>
      <c r="B62" s="4" t="str">
        <f t="shared" si="0"/>
        <v>Wintertriticale, Nitrat-Projekt</v>
      </c>
      <c r="D62" s="694"/>
      <c r="E62" s="943" t="s">
        <v>1987</v>
      </c>
      <c r="F62" s="972" t="s">
        <v>1981</v>
      </c>
      <c r="G62" s="1663" t="s">
        <v>948</v>
      </c>
      <c r="H62" s="972">
        <v>60</v>
      </c>
      <c r="I62" s="1000">
        <v>110</v>
      </c>
      <c r="J62" s="1001">
        <v>0.72</v>
      </c>
      <c r="K62" s="2623">
        <v>0</v>
      </c>
      <c r="L62" s="1001">
        <v>0.08</v>
      </c>
      <c r="M62" s="3044">
        <v>505</v>
      </c>
      <c r="N62" s="2559"/>
      <c r="O62" s="657">
        <v>0.3</v>
      </c>
      <c r="P62" s="659">
        <v>60</v>
      </c>
      <c r="Q62" s="659">
        <v>0</v>
      </c>
      <c r="R62" s="306"/>
      <c r="S62" s="668" t="s">
        <v>24</v>
      </c>
      <c r="T62" s="306"/>
      <c r="U62" s="306"/>
      <c r="V62" s="306"/>
      <c r="W62" s="306"/>
      <c r="X62" s="306"/>
      <c r="Y62" s="1982">
        <f t="shared" si="2"/>
        <v>60</v>
      </c>
      <c r="Z62" s="1469"/>
      <c r="AA62" s="1977">
        <v>50</v>
      </c>
      <c r="AB62" s="1980">
        <f t="shared" si="1"/>
        <v>0.83333333333333337</v>
      </c>
    </row>
    <row r="63" spans="1:28" ht="13.5">
      <c r="A63" s="660"/>
      <c r="B63" s="4" t="str">
        <f t="shared" si="0"/>
        <v>Winterweizen (Brot- und Biskuit)</v>
      </c>
      <c r="D63" s="694"/>
      <c r="E63" s="943" t="s">
        <v>999</v>
      </c>
      <c r="F63" s="972" t="s">
        <v>862</v>
      </c>
      <c r="G63" s="1663" t="s">
        <v>948</v>
      </c>
      <c r="H63" s="972">
        <v>60</v>
      </c>
      <c r="I63" s="1000">
        <v>140</v>
      </c>
      <c r="J63" s="1001">
        <v>0.83</v>
      </c>
      <c r="K63" s="1001">
        <v>0.1</v>
      </c>
      <c r="L63" s="1001">
        <v>0.12</v>
      </c>
      <c r="M63" s="3044" t="s">
        <v>2116</v>
      </c>
      <c r="N63" s="1108"/>
      <c r="O63" s="657">
        <v>1</v>
      </c>
      <c r="P63" s="658">
        <v>80</v>
      </c>
      <c r="Q63" s="658">
        <f>(P63-H63)*O63</f>
        <v>20</v>
      </c>
      <c r="R63" s="306"/>
      <c r="S63" s="306"/>
      <c r="T63" s="306"/>
      <c r="U63" s="306"/>
      <c r="V63" s="306"/>
      <c r="W63" s="306"/>
      <c r="X63" s="306"/>
      <c r="Y63" s="1982">
        <f t="shared" si="2"/>
        <v>60</v>
      </c>
      <c r="Z63" s="1469"/>
      <c r="AA63" s="1977">
        <v>50</v>
      </c>
      <c r="AB63" s="1980">
        <f t="shared" si="1"/>
        <v>0.83333333333333337</v>
      </c>
    </row>
    <row r="64" spans="1:28" ht="13.5">
      <c r="A64" s="660"/>
      <c r="B64" s="4" t="str">
        <f t="shared" si="0"/>
        <v>Winterweizen, Nitrat-Projekt</v>
      </c>
      <c r="D64" s="694"/>
      <c r="E64" s="944" t="s">
        <v>1988</v>
      </c>
      <c r="F64" s="972" t="s">
        <v>1982</v>
      </c>
      <c r="G64" s="1663" t="s">
        <v>948</v>
      </c>
      <c r="H64" s="972">
        <v>60</v>
      </c>
      <c r="I64" s="1000">
        <v>140</v>
      </c>
      <c r="J64" s="1001">
        <v>0.83</v>
      </c>
      <c r="K64" s="1001">
        <v>0.1</v>
      </c>
      <c r="L64" s="1001">
        <v>0.12</v>
      </c>
      <c r="M64" s="3044" t="s">
        <v>2116</v>
      </c>
      <c r="N64" s="1108"/>
      <c r="O64" s="657">
        <v>1</v>
      </c>
      <c r="P64" s="659">
        <v>60</v>
      </c>
      <c r="Q64" s="659">
        <v>0</v>
      </c>
      <c r="R64" s="306"/>
      <c r="S64" s="668" t="s">
        <v>24</v>
      </c>
      <c r="T64" s="306"/>
      <c r="U64" s="306"/>
      <c r="V64" s="306"/>
      <c r="W64" s="306"/>
      <c r="X64" s="306"/>
      <c r="Y64" s="1982">
        <f t="shared" si="2"/>
        <v>60</v>
      </c>
      <c r="Z64" s="1469"/>
      <c r="AA64" s="1977">
        <v>50</v>
      </c>
      <c r="AB64" s="1980">
        <f t="shared" si="1"/>
        <v>0.83333333333333337</v>
      </c>
    </row>
    <row r="65" spans="1:30" ht="13.5">
      <c r="A65" s="660"/>
      <c r="B65" s="4" t="str">
        <f t="shared" ref="B65:B66" si="7">F65</f>
        <v>Winter-Futterweizen</v>
      </c>
      <c r="D65" s="694"/>
      <c r="E65" s="943" t="s">
        <v>1584</v>
      </c>
      <c r="F65" s="973" t="s">
        <v>1547</v>
      </c>
      <c r="G65" s="1663" t="s">
        <v>948</v>
      </c>
      <c r="H65" s="1005">
        <v>75</v>
      </c>
      <c r="I65" s="1000">
        <v>140</v>
      </c>
      <c r="J65" s="1001">
        <v>0.83</v>
      </c>
      <c r="K65" s="1001">
        <v>0.14000000000000001</v>
      </c>
      <c r="L65" s="1001">
        <v>0.12</v>
      </c>
      <c r="M65" s="3044" t="s">
        <v>2117</v>
      </c>
      <c r="N65" s="1108"/>
      <c r="O65" s="657">
        <v>1</v>
      </c>
      <c r="P65" s="658">
        <v>95</v>
      </c>
      <c r="Q65" s="658">
        <f>(P65-H65)*O65</f>
        <v>20</v>
      </c>
      <c r="R65" s="306"/>
      <c r="S65" s="306"/>
      <c r="T65" s="306"/>
      <c r="U65" s="306"/>
      <c r="V65" s="306"/>
      <c r="W65" s="306"/>
      <c r="X65" s="306"/>
      <c r="Y65" s="1982">
        <f t="shared" ref="Y65:Y66" si="8">IF(Y$1="BIO",AA65,H65)</f>
        <v>75</v>
      </c>
      <c r="Z65" s="1469"/>
      <c r="AA65" s="1977">
        <v>65</v>
      </c>
      <c r="AB65" s="1980">
        <f t="shared" ref="AB65:AB66" si="9">IF(AND(ISNUMBER(H65),H65&gt;0),IF(AA65/H65&lt;0.8,"Bio-Ertrag zu tief",AA65/H65),"")</f>
        <v>0.8666666666666667</v>
      </c>
    </row>
    <row r="66" spans="1:30" ht="13.5">
      <c r="A66" s="660"/>
      <c r="B66" s="4" t="str">
        <f t="shared" si="7"/>
        <v>Winter-Futterweizen, Nitrat-Projekt</v>
      </c>
      <c r="D66" s="694"/>
      <c r="E66" s="943" t="s">
        <v>1989</v>
      </c>
      <c r="F66" s="973" t="s">
        <v>1983</v>
      </c>
      <c r="G66" s="1663" t="s">
        <v>948</v>
      </c>
      <c r="H66" s="1005">
        <v>75</v>
      </c>
      <c r="I66" s="1000">
        <v>140</v>
      </c>
      <c r="J66" s="1001">
        <v>0.83</v>
      </c>
      <c r="K66" s="1001">
        <v>0.14000000000000001</v>
      </c>
      <c r="L66" s="1001">
        <v>0.12</v>
      </c>
      <c r="M66" s="3044" t="s">
        <v>2117</v>
      </c>
      <c r="N66" s="1108"/>
      <c r="O66" s="657">
        <v>1</v>
      </c>
      <c r="P66" s="659">
        <v>75</v>
      </c>
      <c r="Q66" s="659">
        <v>0</v>
      </c>
      <c r="R66" s="306"/>
      <c r="S66" s="668" t="s">
        <v>24</v>
      </c>
      <c r="T66" s="306"/>
      <c r="U66" s="306"/>
      <c r="V66" s="306"/>
      <c r="W66" s="306"/>
      <c r="X66" s="306"/>
      <c r="Y66" s="1982">
        <f t="shared" si="8"/>
        <v>75</v>
      </c>
      <c r="Z66" s="1469"/>
      <c r="AA66" s="1977">
        <v>65</v>
      </c>
      <c r="AB66" s="1980">
        <f t="shared" si="9"/>
        <v>0.8666666666666667</v>
      </c>
    </row>
    <row r="67" spans="1:30" ht="13.5">
      <c r="A67" s="660"/>
      <c r="B67" s="4" t="str">
        <f t="shared" si="0"/>
        <v>Zuckerrüben</v>
      </c>
      <c r="D67" s="694"/>
      <c r="E67" s="945" t="s">
        <v>1000</v>
      </c>
      <c r="F67" s="974" t="s">
        <v>206</v>
      </c>
      <c r="G67" s="1665" t="s">
        <v>1001</v>
      </c>
      <c r="H67" s="974">
        <v>900</v>
      </c>
      <c r="I67" s="1007">
        <v>100</v>
      </c>
      <c r="J67" s="1008">
        <v>0.06</v>
      </c>
      <c r="K67" s="1008">
        <v>0.09</v>
      </c>
      <c r="L67" s="1008">
        <v>0.03</v>
      </c>
      <c r="M67" s="3047">
        <v>522</v>
      </c>
      <c r="N67" s="1108"/>
      <c r="O67" s="306"/>
      <c r="P67" s="306"/>
      <c r="Q67" s="306"/>
      <c r="R67" s="306"/>
      <c r="S67" s="306"/>
      <c r="T67" s="306"/>
      <c r="U67" s="306"/>
      <c r="V67" s="306"/>
      <c r="W67" s="306"/>
      <c r="X67" s="306"/>
      <c r="Y67" s="1982">
        <f t="shared" si="2"/>
        <v>900</v>
      </c>
      <c r="Z67" s="1469"/>
      <c r="AA67" s="1977">
        <v>720</v>
      </c>
      <c r="AB67" s="1980">
        <f t="shared" si="1"/>
        <v>0.8</v>
      </c>
    </row>
    <row r="68" spans="1:30" ht="13.5">
      <c r="A68" s="3023" t="s">
        <v>100</v>
      </c>
      <c r="B68" s="3022"/>
      <c r="D68" s="694"/>
      <c r="E68" s="599"/>
      <c r="F68" s="3027">
        <v>1</v>
      </c>
      <c r="G68" s="3027">
        <v>2</v>
      </c>
      <c r="H68" s="3027">
        <v>3</v>
      </c>
      <c r="I68" s="3027">
        <v>4</v>
      </c>
      <c r="J68" s="3027">
        <v>5</v>
      </c>
      <c r="K68" s="3027">
        <v>6</v>
      </c>
      <c r="L68" s="3027">
        <v>7</v>
      </c>
      <c r="M68" s="3027">
        <v>8</v>
      </c>
      <c r="N68" s="1117">
        <v>9</v>
      </c>
      <c r="O68" s="1117">
        <v>10</v>
      </c>
      <c r="P68" s="1117">
        <v>11</v>
      </c>
      <c r="Q68" s="1117">
        <v>12</v>
      </c>
      <c r="R68" s="306"/>
      <c r="S68" s="306"/>
      <c r="T68" s="306"/>
      <c r="U68" s="306"/>
      <c r="V68" s="306"/>
      <c r="X68" s="3029"/>
      <c r="Y68" s="3030"/>
      <c r="Z68" s="3031"/>
      <c r="AA68" s="3032"/>
      <c r="AB68" s="3048"/>
      <c r="AC68" s="3034"/>
      <c r="AD68" s="3034"/>
    </row>
    <row r="69" spans="1:30" ht="13.5">
      <c r="A69" s="3022"/>
      <c r="B69" s="4" t="str">
        <f t="shared" ref="B69:B72" si="10">F69</f>
        <v xml:space="preserve"> -</v>
      </c>
      <c r="D69" s="694"/>
      <c r="E69" s="943">
        <v>0</v>
      </c>
      <c r="F69" s="973" t="s">
        <v>945</v>
      </c>
      <c r="G69" s="1028"/>
      <c r="H69" s="166"/>
      <c r="I69" s="166"/>
      <c r="J69" s="3035"/>
      <c r="K69" s="3035"/>
      <c r="L69" s="3035"/>
      <c r="M69" s="3045"/>
      <c r="N69" s="1511" t="s">
        <v>2091</v>
      </c>
      <c r="O69" s="3036"/>
      <c r="P69" s="3037"/>
      <c r="Q69" s="3038"/>
      <c r="R69" s="306"/>
      <c r="S69" s="306"/>
      <c r="T69" s="306"/>
      <c r="U69" s="306"/>
      <c r="V69" s="306"/>
      <c r="X69" s="2496"/>
      <c r="Y69" s="3006"/>
      <c r="Z69" s="3007"/>
      <c r="AA69" s="3008"/>
      <c r="AB69" s="3009" t="str">
        <f t="shared" ref="AB69" si="11">IF(AND(ISNUMBER(H69),H69&gt;0),IF(AA69/H69&lt;0.8,"Bio-Ertrag zu tief",AA69/H69),"")</f>
        <v/>
      </c>
      <c r="AC69" s="2494"/>
      <c r="AD69" s="3034"/>
    </row>
    <row r="70" spans="1:30" ht="13.5">
      <c r="A70" s="3022"/>
      <c r="B70" s="4" t="str">
        <f t="shared" ref="B70" si="12">F70</f>
        <v>Silomais, Ganzpflanzen-Sorghum</v>
      </c>
      <c r="D70" s="694"/>
      <c r="E70" s="943" t="s">
        <v>1990</v>
      </c>
      <c r="F70" s="972" t="s">
        <v>1826</v>
      </c>
      <c r="G70" s="1003" t="s">
        <v>165</v>
      </c>
      <c r="H70" s="972">
        <v>185</v>
      </c>
      <c r="I70" s="1000">
        <v>110</v>
      </c>
      <c r="J70" s="1001">
        <v>0.57999999999999996</v>
      </c>
      <c r="K70" s="1001">
        <v>1.3</v>
      </c>
      <c r="L70" s="1001">
        <v>0.13</v>
      </c>
      <c r="M70" s="3044">
        <v>521</v>
      </c>
      <c r="N70" s="3028" t="s">
        <v>1536</v>
      </c>
      <c r="O70" s="657">
        <v>0.7</v>
      </c>
      <c r="P70" s="658">
        <v>230</v>
      </c>
      <c r="Q70" s="658">
        <f>(P70-H70)*O70</f>
        <v>31.499999999999996</v>
      </c>
      <c r="R70" s="306"/>
      <c r="S70" s="306"/>
      <c r="T70" s="306"/>
      <c r="U70" s="306"/>
      <c r="V70" s="306"/>
      <c r="X70" s="3029"/>
      <c r="Y70" s="3030">
        <f t="shared" ref="Y70" si="13">IF(Y$1="BIO",AA70,H70)</f>
        <v>185</v>
      </c>
      <c r="Z70" s="3031"/>
      <c r="AA70" s="3032">
        <v>160</v>
      </c>
      <c r="AB70" s="3033">
        <f t="shared" ref="AB70" si="14">IF(AND(ISNUMBER(H70),H70&gt;0),IF(AA70/H70&lt;0.8,"Bio-Ertrag zu tief",AA70/H70),"")</f>
        <v>0.86486486486486491</v>
      </c>
      <c r="AC70" s="3034"/>
    </row>
    <row r="71" spans="1:30" ht="13.5">
      <c r="A71" s="3022"/>
      <c r="B71" s="4" t="str">
        <f t="shared" si="10"/>
        <v>Silomais, Ganzpfl.-Sorghum, Nitratgebiet</v>
      </c>
      <c r="D71" s="694"/>
      <c r="E71" s="943" t="s">
        <v>1991</v>
      </c>
      <c r="F71" s="972" t="s">
        <v>2093</v>
      </c>
      <c r="G71" s="1003" t="s">
        <v>165</v>
      </c>
      <c r="H71" s="972">
        <v>185</v>
      </c>
      <c r="I71" s="1000">
        <v>110</v>
      </c>
      <c r="J71" s="1001">
        <v>0.57999999999999996</v>
      </c>
      <c r="K71" s="1001">
        <v>1.3</v>
      </c>
      <c r="L71" s="1001">
        <v>0.13</v>
      </c>
      <c r="M71" s="3044">
        <v>521</v>
      </c>
      <c r="N71" s="3028" t="s">
        <v>1536</v>
      </c>
      <c r="O71" s="657">
        <v>0.7</v>
      </c>
      <c r="P71" s="659">
        <f>H71</f>
        <v>185</v>
      </c>
      <c r="Q71" s="659">
        <v>0</v>
      </c>
      <c r="R71" s="306"/>
      <c r="S71" s="668" t="s">
        <v>24</v>
      </c>
      <c r="T71" s="306"/>
      <c r="U71" s="306"/>
      <c r="V71" s="306"/>
      <c r="X71" s="306"/>
      <c r="Y71" s="3030">
        <f t="shared" ref="Y71:Y72" si="15">IF(Y$1="BIO",AA71,H71)</f>
        <v>185</v>
      </c>
      <c r="Z71" s="3031"/>
      <c r="AA71" s="3032">
        <v>160</v>
      </c>
      <c r="AB71" s="3033">
        <f t="shared" ref="AB71:AB72" si="16">IF(AND(ISNUMBER(H71),H71&gt;0),IF(AA71/H71&lt;0.8,"Bio-Ertrag zu tief",AA71/H71),"")</f>
        <v>0.86486486486486491</v>
      </c>
    </row>
    <row r="72" spans="1:30" ht="13.5">
      <c r="A72" s="3022"/>
      <c r="B72" s="4" t="str">
        <f t="shared" si="10"/>
        <v>Futterrüben</v>
      </c>
      <c r="D72" s="694"/>
      <c r="E72" s="943" t="s">
        <v>1992</v>
      </c>
      <c r="F72" s="972" t="s">
        <v>205</v>
      </c>
      <c r="G72" s="1003" t="s">
        <v>165</v>
      </c>
      <c r="H72" s="972">
        <v>175</v>
      </c>
      <c r="I72" s="1000">
        <v>100</v>
      </c>
      <c r="J72" s="1001">
        <v>0.5</v>
      </c>
      <c r="K72" s="1001">
        <v>1.1200000000000001</v>
      </c>
      <c r="L72" s="1001">
        <v>0.13</v>
      </c>
      <c r="M72" s="3044">
        <v>523</v>
      </c>
      <c r="N72" s="3028" t="s">
        <v>1536</v>
      </c>
      <c r="O72" s="3005"/>
      <c r="P72" s="3010"/>
      <c r="Q72" s="3010"/>
      <c r="R72" s="306"/>
      <c r="S72" s="668"/>
      <c r="T72" s="306"/>
      <c r="U72" s="306"/>
      <c r="V72" s="306"/>
      <c r="X72" s="306"/>
      <c r="Y72" s="3030">
        <f t="shared" si="15"/>
        <v>175</v>
      </c>
      <c r="Z72" s="3031"/>
      <c r="AA72" s="3032">
        <v>160</v>
      </c>
      <c r="AB72" s="3033">
        <f t="shared" si="16"/>
        <v>0.91428571428571426</v>
      </c>
    </row>
    <row r="73" spans="1:30" ht="13.5">
      <c r="E73" s="599"/>
      <c r="F73" s="7"/>
      <c r="G73" s="1009"/>
      <c r="H73" s="1009"/>
      <c r="I73" s="7"/>
      <c r="J73" s="1010"/>
      <c r="K73" s="1010"/>
      <c r="L73" s="1010"/>
      <c r="M73" s="1203"/>
      <c r="N73" s="1108"/>
      <c r="O73" s="306"/>
      <c r="P73" s="306"/>
      <c r="Q73" s="306"/>
      <c r="R73" s="306"/>
      <c r="S73" s="306"/>
      <c r="T73" s="306"/>
      <c r="U73" s="306"/>
      <c r="V73" s="306"/>
      <c r="W73" s="306"/>
      <c r="X73" s="306"/>
      <c r="Y73" s="306"/>
      <c r="Z73" s="1469"/>
    </row>
    <row r="74" spans="1:30" ht="14.25">
      <c r="A74" s="900"/>
      <c r="B74" s="901" t="s">
        <v>945</v>
      </c>
      <c r="D74" s="694"/>
      <c r="E74" s="939" t="s">
        <v>131</v>
      </c>
      <c r="F74" s="968" t="s">
        <v>48</v>
      </c>
      <c r="G74" s="1660" t="s">
        <v>52</v>
      </c>
      <c r="H74" s="993" t="s">
        <v>223</v>
      </c>
      <c r="I74" s="994" t="s">
        <v>61</v>
      </c>
      <c r="J74" s="993" t="s">
        <v>924</v>
      </c>
      <c r="K74" s="993" t="s">
        <v>925</v>
      </c>
      <c r="L74" s="993" t="s">
        <v>64</v>
      </c>
      <c r="M74" s="1011"/>
      <c r="N74" s="1108"/>
      <c r="O74" s="344"/>
      <c r="P74" s="344"/>
      <c r="Q74" s="306"/>
      <c r="R74" s="306"/>
      <c r="S74" s="2640"/>
      <c r="T74" s="2557" t="s">
        <v>1789</v>
      </c>
      <c r="U74" s="597"/>
      <c r="V74" s="597"/>
      <c r="W74" s="597"/>
      <c r="X74" s="597"/>
      <c r="Y74" s="306"/>
      <c r="Z74" s="1469"/>
    </row>
    <row r="75" spans="1:30" ht="14.25" thickBot="1">
      <c r="A75" s="900"/>
      <c r="B75" s="685" t="s">
        <v>1622</v>
      </c>
      <c r="D75" s="694"/>
      <c r="E75" s="940"/>
      <c r="F75" s="969"/>
      <c r="G75" s="1661"/>
      <c r="H75" s="995" t="s">
        <v>941</v>
      </c>
      <c r="I75" s="1012"/>
      <c r="J75" s="1013" t="s">
        <v>750</v>
      </c>
      <c r="K75" s="997"/>
      <c r="L75" s="997"/>
      <c r="M75" s="1014"/>
      <c r="N75" s="1108"/>
      <c r="O75" s="306"/>
      <c r="P75" s="306"/>
      <c r="Q75" s="306"/>
      <c r="R75" s="306"/>
      <c r="S75" s="2640"/>
      <c r="T75" s="597"/>
      <c r="U75" s="597"/>
      <c r="V75" s="597"/>
      <c r="W75" s="597"/>
      <c r="X75" s="597"/>
      <c r="Y75" s="306"/>
      <c r="Z75" s="1469"/>
    </row>
    <row r="76" spans="1:30" ht="14.25" thickBot="1">
      <c r="A76" s="900"/>
      <c r="B76" s="685" t="s">
        <v>1623</v>
      </c>
      <c r="D76" s="694"/>
      <c r="E76" s="535" t="s">
        <v>2104</v>
      </c>
      <c r="F76" s="975"/>
      <c r="G76" s="970"/>
      <c r="H76" s="970"/>
      <c r="I76" s="975"/>
      <c r="J76" s="975"/>
      <c r="K76" s="975"/>
      <c r="L76" s="975"/>
      <c r="M76" s="1015"/>
      <c r="N76" s="1108"/>
      <c r="O76" s="306"/>
      <c r="P76" s="306"/>
      <c r="Q76" s="306"/>
      <c r="R76" s="306"/>
      <c r="S76" s="2640"/>
      <c r="T76" s="597"/>
      <c r="U76" s="597"/>
      <c r="V76" s="597"/>
      <c r="W76" s="597"/>
      <c r="X76" s="597"/>
      <c r="Y76" s="306"/>
      <c r="Z76" s="1469"/>
    </row>
    <row r="77" spans="1:30" ht="13.5">
      <c r="A77" s="900"/>
      <c r="B77" s="2553" t="str">
        <f>B22</f>
        <v>Hirse</v>
      </c>
      <c r="C77" s="2553"/>
      <c r="D77" s="2631"/>
      <c r="E77" s="2632" t="str">
        <f t="shared" ref="E77:M77" si="17">E22</f>
        <v>hir</v>
      </c>
      <c r="F77" s="2633" t="str">
        <f t="shared" si="17"/>
        <v>Hirse</v>
      </c>
      <c r="G77" s="2634" t="str">
        <f t="shared" si="17"/>
        <v>dt Kö</v>
      </c>
      <c r="H77" s="2635">
        <f t="shared" si="17"/>
        <v>35</v>
      </c>
      <c r="I77" s="2635">
        <f t="shared" si="17"/>
        <v>70</v>
      </c>
      <c r="J77" s="2635">
        <f t="shared" si="17"/>
        <v>0.66</v>
      </c>
      <c r="K77" s="2635">
        <f t="shared" si="17"/>
        <v>0.28999999999999998</v>
      </c>
      <c r="L77" s="2635">
        <f t="shared" si="17"/>
        <v>0.11</v>
      </c>
      <c r="M77" s="2636">
        <f t="shared" si="17"/>
        <v>578</v>
      </c>
      <c r="N77" s="1108"/>
      <c r="O77" s="306"/>
      <c r="P77" s="306"/>
      <c r="Q77" s="306"/>
      <c r="R77" s="306"/>
      <c r="S77" s="2640"/>
      <c r="T77" s="597"/>
      <c r="U77" s="597"/>
      <c r="V77" s="597"/>
      <c r="W77" s="597"/>
      <c r="X77" s="597"/>
      <c r="Y77" s="2637">
        <f>Y22</f>
        <v>35</v>
      </c>
      <c r="Z77" s="2638">
        <f>Z22</f>
        <v>0</v>
      </c>
      <c r="AA77" s="2553">
        <f>AA22</f>
        <v>30</v>
      </c>
      <c r="AB77" s="2639">
        <f>AB22</f>
        <v>0.8571428571428571</v>
      </c>
    </row>
    <row r="78" spans="1:30" ht="13.5">
      <c r="B78" s="4" t="s">
        <v>1430</v>
      </c>
      <c r="D78" s="694"/>
      <c r="E78" s="2624"/>
      <c r="F78" s="2625"/>
      <c r="G78" s="7"/>
      <c r="H78" s="7"/>
      <c r="I78" s="2625"/>
      <c r="J78" s="2625"/>
      <c r="K78" s="2625"/>
      <c r="L78" s="2625"/>
      <c r="M78" s="1027"/>
      <c r="N78" s="1108"/>
      <c r="O78" s="306"/>
      <c r="P78" s="306"/>
      <c r="Q78" s="306"/>
      <c r="R78" s="306"/>
      <c r="S78" s="2640"/>
      <c r="T78" s="597"/>
      <c r="U78" s="597"/>
      <c r="V78" s="597"/>
      <c r="W78" s="597"/>
      <c r="X78" s="597"/>
      <c r="Y78" s="306"/>
      <c r="Z78" s="1469"/>
    </row>
    <row r="79" spans="1:30" ht="14.25" thickBot="1">
      <c r="B79" s="685" t="s">
        <v>635</v>
      </c>
      <c r="D79" s="694"/>
      <c r="E79" s="2624"/>
      <c r="F79" s="2625"/>
      <c r="G79" s="7"/>
      <c r="H79" s="7"/>
      <c r="I79" s="2625"/>
      <c r="J79" s="2625"/>
      <c r="K79" s="2625"/>
      <c r="L79" s="2625"/>
      <c r="M79" s="1027"/>
      <c r="N79" s="1108"/>
      <c r="O79" s="306"/>
      <c r="P79" s="306"/>
      <c r="Q79" s="306"/>
      <c r="R79" s="306"/>
      <c r="S79" s="2640"/>
      <c r="T79" s="597"/>
      <c r="U79" s="597"/>
      <c r="V79" s="597"/>
      <c r="W79" s="597"/>
      <c r="X79" s="597"/>
      <c r="Y79" s="306"/>
      <c r="Z79" s="1469"/>
    </row>
    <row r="80" spans="1:30" ht="9" customHeight="1">
      <c r="A80" s="2627" t="s">
        <v>805</v>
      </c>
      <c r="B80" s="2628" t="str">
        <f t="shared" si="0"/>
        <v xml:space="preserve"> -</v>
      </c>
      <c r="C80" s="2628"/>
      <c r="D80" s="2629"/>
      <c r="E80" s="2630">
        <v>0</v>
      </c>
      <c r="F80" s="2626" t="s">
        <v>945</v>
      </c>
      <c r="G80" s="2626"/>
      <c r="H80" s="2626"/>
      <c r="I80" s="2626"/>
      <c r="J80" s="2626"/>
      <c r="K80" s="2626"/>
      <c r="L80" s="2626"/>
      <c r="M80" s="1016"/>
      <c r="N80" s="1108"/>
      <c r="O80" s="306"/>
      <c r="P80" s="306"/>
      <c r="Q80" s="306"/>
      <c r="R80" s="306"/>
      <c r="S80" s="306"/>
      <c r="T80" s="306"/>
      <c r="U80" s="306"/>
      <c r="V80" s="306"/>
      <c r="W80" s="306"/>
      <c r="X80" s="306"/>
      <c r="Y80" s="306"/>
      <c r="Z80" s="1469"/>
    </row>
    <row r="81" spans="1:26" ht="13.5">
      <c r="A81" s="661"/>
      <c r="B81" s="4" t="str">
        <f t="shared" si="0"/>
        <v>Asia-Salate (Brassicacea) (200 kg/a)</v>
      </c>
      <c r="D81" s="694"/>
      <c r="E81" s="942" t="s">
        <v>1997</v>
      </c>
      <c r="F81" s="971" t="s">
        <v>1998</v>
      </c>
      <c r="G81" s="1662" t="s">
        <v>57</v>
      </c>
      <c r="H81" s="1017"/>
      <c r="I81" s="998">
        <v>150</v>
      </c>
      <c r="J81" s="971">
        <v>30</v>
      </c>
      <c r="K81" s="971">
        <v>135</v>
      </c>
      <c r="L81" s="971">
        <v>10</v>
      </c>
      <c r="M81" s="1018"/>
      <c r="N81" s="1108"/>
      <c r="O81" s="306"/>
      <c r="P81" s="306"/>
      <c r="Q81" s="306"/>
      <c r="R81" s="306"/>
      <c r="S81" s="306"/>
      <c r="T81" s="306"/>
      <c r="U81" s="306"/>
      <c r="V81" s="306"/>
      <c r="W81" s="306"/>
      <c r="X81" s="306"/>
      <c r="Y81" s="306"/>
      <c r="Z81" s="1469"/>
    </row>
    <row r="82" spans="1:26" ht="13.5">
      <c r="A82" s="661"/>
      <c r="B82" s="4" t="str">
        <f t="shared" si="0"/>
        <v>Aubergine</v>
      </c>
      <c r="D82" s="694"/>
      <c r="E82" s="946" t="s">
        <v>1002</v>
      </c>
      <c r="F82" s="978" t="s">
        <v>1003</v>
      </c>
      <c r="G82" s="1666" t="s">
        <v>57</v>
      </c>
      <c r="H82" s="1019"/>
      <c r="I82" s="1020">
        <v>170</v>
      </c>
      <c r="J82" s="978">
        <v>20</v>
      </c>
      <c r="K82" s="978">
        <v>130</v>
      </c>
      <c r="L82" s="978">
        <v>10</v>
      </c>
      <c r="M82" s="1021"/>
      <c r="N82" s="1108"/>
      <c r="O82" s="306"/>
      <c r="P82" s="306"/>
      <c r="Q82" s="306"/>
      <c r="R82" s="306"/>
      <c r="S82" s="306"/>
      <c r="T82" s="306"/>
      <c r="U82" s="306"/>
      <c r="V82" s="306"/>
      <c r="W82" s="306"/>
      <c r="X82" s="306"/>
      <c r="Y82" s="306"/>
      <c r="Z82" s="1469"/>
    </row>
    <row r="83" spans="1:26" ht="13.5">
      <c r="A83" s="661"/>
      <c r="B83" s="4" t="str">
        <f t="shared" si="0"/>
        <v>Blumen, Schnitt-, klein</v>
      </c>
      <c r="D83" s="694"/>
      <c r="E83" s="946" t="s">
        <v>1004</v>
      </c>
      <c r="F83" s="972" t="s">
        <v>1006</v>
      </c>
      <c r="G83" s="1666" t="s">
        <v>57</v>
      </c>
      <c r="H83" s="1019"/>
      <c r="I83" s="1020">
        <v>140</v>
      </c>
      <c r="J83" s="978">
        <v>100</v>
      </c>
      <c r="K83" s="978">
        <v>150</v>
      </c>
      <c r="L83" s="978">
        <v>30</v>
      </c>
      <c r="M83" s="1021"/>
      <c r="N83" s="1108"/>
      <c r="O83" s="306"/>
      <c r="P83" s="306"/>
      <c r="Q83" s="306"/>
      <c r="R83" s="306"/>
      <c r="S83" s="306"/>
      <c r="T83" s="306"/>
      <c r="U83" s="306"/>
      <c r="V83" s="306"/>
      <c r="W83" s="306"/>
      <c r="X83" s="306"/>
      <c r="Y83" s="306"/>
      <c r="Z83" s="1469"/>
    </row>
    <row r="84" spans="1:26" ht="13.5">
      <c r="A84" s="661"/>
      <c r="B84" s="4" t="str">
        <f t="shared" si="0"/>
        <v>Blumen, Schnitt-, mittel</v>
      </c>
      <c r="D84" s="694"/>
      <c r="E84" s="943" t="s">
        <v>1007</v>
      </c>
      <c r="F84" s="972" t="s">
        <v>1008</v>
      </c>
      <c r="G84" s="1663" t="s">
        <v>57</v>
      </c>
      <c r="H84" s="1003"/>
      <c r="I84" s="1000">
        <v>230</v>
      </c>
      <c r="J84" s="972">
        <v>140</v>
      </c>
      <c r="K84" s="972">
        <v>250</v>
      </c>
      <c r="L84" s="972">
        <v>40</v>
      </c>
      <c r="M84" s="1022"/>
      <c r="N84" s="1108"/>
      <c r="O84" s="306"/>
      <c r="P84" s="306"/>
      <c r="Q84" s="306"/>
      <c r="R84" s="306"/>
      <c r="S84" s="306"/>
      <c r="T84" s="306"/>
      <c r="U84" s="306"/>
      <c r="V84" s="306"/>
      <c r="W84" s="306"/>
      <c r="X84" s="306"/>
      <c r="Y84" s="306"/>
      <c r="Z84" s="1469"/>
    </row>
    <row r="85" spans="1:26" ht="13.5">
      <c r="A85" s="661"/>
      <c r="B85" s="4" t="str">
        <f t="shared" si="0"/>
        <v>Blumen, Schnitt-, gross</v>
      </c>
      <c r="D85" s="694"/>
      <c r="E85" s="943" t="s">
        <v>1009</v>
      </c>
      <c r="F85" s="972" t="s">
        <v>1010</v>
      </c>
      <c r="G85" s="1663" t="s">
        <v>57</v>
      </c>
      <c r="H85" s="1003"/>
      <c r="I85" s="1000">
        <v>320</v>
      </c>
      <c r="J85" s="972">
        <v>180</v>
      </c>
      <c r="K85" s="972">
        <v>350</v>
      </c>
      <c r="L85" s="972">
        <v>60</v>
      </c>
      <c r="M85" s="1022"/>
      <c r="N85" s="1108"/>
      <c r="O85" s="306"/>
      <c r="P85" s="306"/>
      <c r="Q85" s="306"/>
      <c r="R85" s="306"/>
      <c r="S85" s="306"/>
      <c r="T85" s="306"/>
      <c r="U85" s="306"/>
      <c r="V85" s="306"/>
      <c r="W85" s="306"/>
      <c r="X85" s="306"/>
      <c r="Y85" s="306"/>
      <c r="Z85" s="1469"/>
    </row>
    <row r="86" spans="1:26" ht="13.5">
      <c r="A86" s="661"/>
      <c r="B86" s="4" t="str">
        <f t="shared" si="0"/>
        <v>Blumenkohl, Standard (350 kg/a)</v>
      </c>
      <c r="D86" s="694"/>
      <c r="E86" s="943" t="s">
        <v>1999</v>
      </c>
      <c r="F86" s="972" t="s">
        <v>2001</v>
      </c>
      <c r="G86" s="1663" t="s">
        <v>57</v>
      </c>
      <c r="H86" s="1003"/>
      <c r="I86" s="1000">
        <v>290</v>
      </c>
      <c r="J86" s="972">
        <v>40</v>
      </c>
      <c r="K86" s="972">
        <v>150</v>
      </c>
      <c r="L86" s="972">
        <v>15</v>
      </c>
      <c r="M86" s="1022"/>
      <c r="N86" s="1108"/>
      <c r="O86" s="306"/>
      <c r="P86" s="306"/>
      <c r="Q86" s="306"/>
      <c r="R86" s="306"/>
      <c r="S86" s="306"/>
      <c r="T86" s="306"/>
      <c r="U86" s="306"/>
      <c r="V86" s="306"/>
      <c r="W86" s="306"/>
      <c r="X86" s="306"/>
      <c r="Y86" s="306"/>
      <c r="Z86" s="1469"/>
    </row>
    <row r="87" spans="1:26" ht="13.5">
      <c r="A87" s="661"/>
      <c r="B87" s="4" t="str">
        <f t="shared" si="0"/>
        <v>Blumenkohl, früh (350 kg/a)</v>
      </c>
      <c r="D87" s="694"/>
      <c r="E87" s="943" t="s">
        <v>2000</v>
      </c>
      <c r="F87" s="972" t="s">
        <v>2002</v>
      </c>
      <c r="G87" s="1663" t="s">
        <v>57</v>
      </c>
      <c r="H87" s="1003"/>
      <c r="I87" s="1000">
        <v>300</v>
      </c>
      <c r="J87" s="972">
        <v>40</v>
      </c>
      <c r="K87" s="972">
        <v>150</v>
      </c>
      <c r="L87" s="972">
        <v>15</v>
      </c>
      <c r="M87" s="1022"/>
      <c r="N87" s="1108"/>
      <c r="O87" s="306"/>
      <c r="P87" s="306"/>
      <c r="Q87" s="306"/>
      <c r="R87" s="306"/>
      <c r="S87" s="306"/>
      <c r="T87" s="306"/>
      <c r="U87" s="306"/>
      <c r="V87" s="306"/>
      <c r="W87" s="306"/>
      <c r="X87" s="306"/>
      <c r="Y87" s="306"/>
      <c r="Z87" s="1469"/>
    </row>
    <row r="88" spans="1:26" ht="13.5">
      <c r="A88" s="661"/>
      <c r="B88" s="4" t="str">
        <f t="shared" si="0"/>
        <v>Blumenkohl, Verarbeitung (400 kg/a)</v>
      </c>
      <c r="D88" s="694"/>
      <c r="E88" s="943" t="s">
        <v>2004</v>
      </c>
      <c r="F88" s="972" t="s">
        <v>2003</v>
      </c>
      <c r="G88" s="1663" t="s">
        <v>57</v>
      </c>
      <c r="H88" s="1003"/>
      <c r="I88" s="1000">
        <v>310</v>
      </c>
      <c r="J88" s="972">
        <v>40</v>
      </c>
      <c r="K88" s="972">
        <v>150</v>
      </c>
      <c r="L88" s="972">
        <v>15</v>
      </c>
      <c r="M88" s="1022"/>
      <c r="N88" s="1108"/>
      <c r="O88" s="306"/>
      <c r="P88" s="306"/>
      <c r="Q88" s="306"/>
      <c r="R88" s="306"/>
      <c r="S88" s="306"/>
      <c r="T88" s="306"/>
      <c r="U88" s="306"/>
      <c r="V88" s="306"/>
      <c r="W88" s="306"/>
      <c r="X88" s="306"/>
      <c r="Y88" s="306"/>
      <c r="Z88" s="1469"/>
    </row>
    <row r="89" spans="1:26" ht="13.5">
      <c r="A89" s="661"/>
      <c r="B89" s="4" t="str">
        <f t="shared" si="0"/>
        <v>Bodenkohlrabi</v>
      </c>
      <c r="D89" s="694"/>
      <c r="E89" s="943" t="s">
        <v>1011</v>
      </c>
      <c r="F89" s="972" t="s">
        <v>1012</v>
      </c>
      <c r="G89" s="1663" t="s">
        <v>57</v>
      </c>
      <c r="H89" s="1003"/>
      <c r="I89" s="1000">
        <v>150</v>
      </c>
      <c r="J89" s="972">
        <v>30</v>
      </c>
      <c r="K89" s="972">
        <v>120</v>
      </c>
      <c r="L89" s="972">
        <v>20</v>
      </c>
      <c r="M89" s="1022"/>
      <c r="N89" s="1108"/>
      <c r="O89" s="306"/>
      <c r="P89" s="306"/>
      <c r="Q89" s="306"/>
      <c r="R89" s="306"/>
      <c r="S89" s="306"/>
      <c r="T89" s="306"/>
      <c r="U89" s="306"/>
      <c r="V89" s="306"/>
      <c r="W89" s="306"/>
      <c r="X89" s="306"/>
      <c r="Y89" s="306"/>
      <c r="Z89" s="1469"/>
    </row>
    <row r="90" spans="1:26" ht="13.5">
      <c r="A90" s="661"/>
      <c r="B90" s="4" t="str">
        <f t="shared" si="0"/>
        <v>Bohnen, Busch-</v>
      </c>
      <c r="D90" s="694"/>
      <c r="E90" s="943" t="s">
        <v>1014</v>
      </c>
      <c r="F90" s="972" t="s">
        <v>1015</v>
      </c>
      <c r="G90" s="1663" t="s">
        <v>57</v>
      </c>
      <c r="H90" s="1003"/>
      <c r="I90" s="1000">
        <v>0</v>
      </c>
      <c r="J90" s="972">
        <v>20</v>
      </c>
      <c r="K90" s="972">
        <v>70</v>
      </c>
      <c r="L90" s="972">
        <v>5</v>
      </c>
      <c r="M90" s="1022"/>
      <c r="N90" s="1108"/>
      <c r="O90" s="306"/>
      <c r="P90" s="306"/>
      <c r="Q90" s="306"/>
      <c r="R90" s="306"/>
      <c r="S90" s="306"/>
      <c r="T90" s="306"/>
      <c r="U90" s="306"/>
      <c r="V90" s="306"/>
      <c r="W90" s="306"/>
      <c r="X90" s="306"/>
      <c r="Y90" s="306"/>
      <c r="Z90" s="1469"/>
    </row>
    <row r="91" spans="1:26" ht="13.5">
      <c r="A91" s="661"/>
      <c r="B91" s="4" t="str">
        <f t="shared" si="0"/>
        <v>Bohnen, Verarbeitung-</v>
      </c>
      <c r="D91" s="694"/>
      <c r="E91" s="943" t="s">
        <v>1013</v>
      </c>
      <c r="F91" s="972" t="s">
        <v>1452</v>
      </c>
      <c r="G91" s="1663" t="s">
        <v>57</v>
      </c>
      <c r="H91" s="1003"/>
      <c r="I91" s="1000">
        <v>0</v>
      </c>
      <c r="J91" s="972">
        <v>10</v>
      </c>
      <c r="K91" s="972">
        <v>30</v>
      </c>
      <c r="L91" s="972">
        <v>5</v>
      </c>
      <c r="M91" s="1022"/>
      <c r="N91" s="1108"/>
      <c r="O91" s="306"/>
      <c r="P91" s="306"/>
      <c r="Q91" s="306"/>
      <c r="R91" s="306"/>
      <c r="S91" s="306"/>
      <c r="T91" s="306"/>
      <c r="U91" s="306"/>
      <c r="V91" s="306"/>
      <c r="W91" s="306"/>
      <c r="X91" s="306"/>
      <c r="Y91" s="306"/>
      <c r="Z91" s="1469"/>
    </row>
    <row r="92" spans="1:26" ht="13.5">
      <c r="A92" s="661"/>
      <c r="B92" s="4" t="str">
        <f t="shared" si="0"/>
        <v>Broccoli (180 kg/a)</v>
      </c>
      <c r="D92" s="694"/>
      <c r="E92" s="943" t="s">
        <v>1016</v>
      </c>
      <c r="F92" s="972" t="s">
        <v>2005</v>
      </c>
      <c r="G92" s="1663" t="s">
        <v>57</v>
      </c>
      <c r="H92" s="1003"/>
      <c r="I92" s="1000">
        <v>220</v>
      </c>
      <c r="J92" s="972">
        <v>30</v>
      </c>
      <c r="K92" s="972">
        <v>90</v>
      </c>
      <c r="L92" s="972">
        <v>10</v>
      </c>
      <c r="M92" s="1022"/>
      <c r="N92" s="1108"/>
      <c r="O92" s="306"/>
      <c r="P92" s="306"/>
      <c r="Q92" s="306"/>
      <c r="R92" s="306"/>
      <c r="S92" s="306"/>
      <c r="T92" s="306"/>
      <c r="U92" s="306"/>
      <c r="V92" s="306"/>
      <c r="W92" s="306"/>
      <c r="X92" s="306"/>
      <c r="Y92" s="306"/>
      <c r="Z92" s="1469"/>
    </row>
    <row r="93" spans="1:26" ht="13.5">
      <c r="A93" s="661"/>
      <c r="B93" s="4" t="str">
        <f t="shared" si="0"/>
        <v>Broccoli, Verarbeitung (250 kg/a)</v>
      </c>
      <c r="D93" s="694"/>
      <c r="E93" s="943" t="s">
        <v>2006</v>
      </c>
      <c r="F93" s="972" t="s">
        <v>2007</v>
      </c>
      <c r="G93" s="1663" t="s">
        <v>57</v>
      </c>
      <c r="H93" s="1003"/>
      <c r="I93" s="1000">
        <v>300</v>
      </c>
      <c r="J93" s="972">
        <v>35</v>
      </c>
      <c r="K93" s="972">
        <v>100</v>
      </c>
      <c r="L93" s="972">
        <v>10</v>
      </c>
      <c r="M93" s="1022"/>
      <c r="N93" s="1108"/>
      <c r="O93" s="306"/>
      <c r="P93" s="306"/>
      <c r="Q93" s="306"/>
      <c r="R93" s="306"/>
      <c r="S93" s="306"/>
      <c r="T93" s="306"/>
      <c r="U93" s="306"/>
      <c r="V93" s="306"/>
      <c r="W93" s="306"/>
      <c r="X93" s="306"/>
      <c r="Y93" s="306"/>
      <c r="Z93" s="1469"/>
    </row>
    <row r="94" spans="1:26" ht="13.5">
      <c r="A94" s="661"/>
      <c r="B94" s="4" t="str">
        <f t="shared" si="0"/>
        <v>Cima di rapa (400 kg/a)</v>
      </c>
      <c r="D94" s="694"/>
      <c r="E94" s="943" t="s">
        <v>1626</v>
      </c>
      <c r="F94" s="972" t="s">
        <v>1625</v>
      </c>
      <c r="G94" s="1663" t="s">
        <v>57</v>
      </c>
      <c r="H94" s="1003"/>
      <c r="I94" s="1000">
        <v>140</v>
      </c>
      <c r="J94" s="972">
        <v>40</v>
      </c>
      <c r="K94" s="972">
        <v>160</v>
      </c>
      <c r="L94" s="972">
        <v>10</v>
      </c>
      <c r="M94" s="1022"/>
      <c r="N94" s="1108"/>
      <c r="O94" s="306"/>
      <c r="P94" s="306"/>
      <c r="Q94" s="306"/>
      <c r="R94" s="306"/>
      <c r="S94" s="306"/>
      <c r="T94" s="306"/>
      <c r="U94" s="306"/>
      <c r="V94" s="306"/>
      <c r="W94" s="306"/>
      <c r="X94" s="306"/>
      <c r="Y94" s="306"/>
      <c r="Z94" s="1469"/>
    </row>
    <row r="95" spans="1:26" ht="13.5">
      <c r="A95" s="661"/>
      <c r="B95" s="4" t="str">
        <f t="shared" si="0"/>
        <v>Chinakohl (600 kg/a)</v>
      </c>
      <c r="D95" s="694"/>
      <c r="E95" s="943" t="s">
        <v>1017</v>
      </c>
      <c r="F95" s="972" t="s">
        <v>2008</v>
      </c>
      <c r="G95" s="1663" t="s">
        <v>57</v>
      </c>
      <c r="H95" s="1003"/>
      <c r="I95" s="1000">
        <v>160</v>
      </c>
      <c r="J95" s="972">
        <v>60</v>
      </c>
      <c r="K95" s="972">
        <v>200</v>
      </c>
      <c r="L95" s="972">
        <v>10</v>
      </c>
      <c r="M95" s="1022"/>
      <c r="N95" s="1108"/>
      <c r="O95" s="306"/>
      <c r="P95" s="306"/>
      <c r="Q95" s="306"/>
      <c r="R95" s="306"/>
      <c r="S95" s="306"/>
      <c r="T95" s="306"/>
      <c r="U95" s="306"/>
      <c r="V95" s="306"/>
      <c r="W95" s="306"/>
      <c r="X95" s="306"/>
      <c r="Y95" s="306"/>
      <c r="Z95" s="1469"/>
    </row>
    <row r="96" spans="1:26" ht="13.5">
      <c r="A96" s="661"/>
      <c r="B96" s="4" t="str">
        <f t="shared" si="0"/>
        <v>Chinakohl, Verarbeitung (700 kg/a)</v>
      </c>
      <c r="D96" s="694"/>
      <c r="E96" s="943" t="s">
        <v>2010</v>
      </c>
      <c r="F96" s="972" t="s">
        <v>2009</v>
      </c>
      <c r="G96" s="1663" t="s">
        <v>57</v>
      </c>
      <c r="H96" s="1003"/>
      <c r="I96" s="1000">
        <v>200</v>
      </c>
      <c r="J96" s="972">
        <v>60</v>
      </c>
      <c r="K96" s="972">
        <v>200</v>
      </c>
      <c r="L96" s="972">
        <v>15</v>
      </c>
      <c r="M96" s="1022"/>
      <c r="N96" s="1108"/>
      <c r="O96" s="306"/>
      <c r="P96" s="306"/>
      <c r="Q96" s="306"/>
      <c r="R96" s="306"/>
      <c r="S96" s="306"/>
      <c r="T96" s="306"/>
      <c r="U96" s="306"/>
      <c r="V96" s="306"/>
      <c r="W96" s="306"/>
      <c r="X96" s="306"/>
      <c r="Y96" s="306"/>
      <c r="Z96" s="1469"/>
    </row>
    <row r="97" spans="1:26" ht="13.5">
      <c r="A97" s="661"/>
      <c r="B97" s="4" t="str">
        <f t="shared" ref="B97:B196" si="18">F97</f>
        <v>Chicorée, Wurzelanbau</v>
      </c>
      <c r="D97" s="694"/>
      <c r="E97" s="943" t="s">
        <v>664</v>
      </c>
      <c r="F97" s="972" t="s">
        <v>663</v>
      </c>
      <c r="G97" s="1663" t="s">
        <v>57</v>
      </c>
      <c r="H97" s="1003"/>
      <c r="I97" s="1000">
        <v>70</v>
      </c>
      <c r="J97" s="972">
        <v>50</v>
      </c>
      <c r="K97" s="972">
        <v>150</v>
      </c>
      <c r="L97" s="972">
        <v>30</v>
      </c>
      <c r="M97" s="1022"/>
      <c r="N97" s="1108"/>
      <c r="O97" s="306"/>
      <c r="P97" s="306"/>
      <c r="Q97" s="306"/>
      <c r="R97" s="306"/>
      <c r="S97" s="306"/>
      <c r="T97" s="306"/>
      <c r="U97" s="306"/>
      <c r="V97" s="306"/>
      <c r="W97" s="306"/>
      <c r="X97" s="306"/>
      <c r="Y97" s="306"/>
      <c r="Z97" s="1469"/>
    </row>
    <row r="98" spans="1:26" ht="13.5">
      <c r="A98" s="661"/>
      <c r="B98" s="4" t="str">
        <f t="shared" si="18"/>
        <v>Cicorino rosso, Radicchio</v>
      </c>
      <c r="D98" s="694"/>
      <c r="E98" s="943" t="s">
        <v>1018</v>
      </c>
      <c r="F98" s="972" t="s">
        <v>1019</v>
      </c>
      <c r="G98" s="1663" t="s">
        <v>57</v>
      </c>
      <c r="H98" s="1003"/>
      <c r="I98" s="1000">
        <v>110</v>
      </c>
      <c r="J98" s="972">
        <v>20</v>
      </c>
      <c r="K98" s="972">
        <v>90</v>
      </c>
      <c r="L98" s="972">
        <v>10</v>
      </c>
      <c r="M98" s="1022"/>
      <c r="N98" s="1108"/>
      <c r="O98" s="306"/>
      <c r="P98" s="306"/>
      <c r="Q98" s="306"/>
      <c r="R98" s="306"/>
      <c r="S98" s="306"/>
      <c r="T98" s="306"/>
      <c r="U98" s="306"/>
      <c r="V98" s="306"/>
      <c r="W98" s="306"/>
      <c r="X98" s="306"/>
      <c r="Y98" s="306"/>
      <c r="Z98" s="1469"/>
    </row>
    <row r="99" spans="1:26" ht="13.5">
      <c r="A99" s="661"/>
      <c r="B99" s="4" t="str">
        <f t="shared" si="18"/>
        <v>Cicorino rosso, Radicchio, Verarbeitung (250 kg/a)</v>
      </c>
      <c r="D99" s="694"/>
      <c r="E99" s="943" t="s">
        <v>2013</v>
      </c>
      <c r="F99" s="972" t="s">
        <v>2014</v>
      </c>
      <c r="G99" s="1663"/>
      <c r="H99" s="1003"/>
      <c r="I99" s="1000">
        <v>130</v>
      </c>
      <c r="J99" s="972">
        <v>25</v>
      </c>
      <c r="K99" s="972">
        <v>140</v>
      </c>
      <c r="L99" s="972">
        <v>15</v>
      </c>
      <c r="M99" s="1022"/>
      <c r="N99" s="1108"/>
      <c r="O99" s="306"/>
      <c r="P99" s="306"/>
      <c r="Q99" s="306"/>
      <c r="R99" s="306"/>
      <c r="S99" s="306"/>
      <c r="T99" s="306"/>
      <c r="U99" s="306"/>
      <c r="V99" s="306"/>
      <c r="W99" s="306"/>
      <c r="X99" s="306"/>
      <c r="Y99" s="306"/>
      <c r="Z99" s="1469"/>
    </row>
    <row r="100" spans="1:26" ht="13.5">
      <c r="A100" s="661"/>
      <c r="B100" s="4" t="str">
        <f t="shared" si="18"/>
        <v>Endivie (350 kg/a)</v>
      </c>
      <c r="D100" s="694"/>
      <c r="E100" s="943" t="s">
        <v>1020</v>
      </c>
      <c r="F100" s="972" t="s">
        <v>1021</v>
      </c>
      <c r="G100" s="1663" t="s">
        <v>57</v>
      </c>
      <c r="H100" s="1003"/>
      <c r="I100" s="1000">
        <v>130</v>
      </c>
      <c r="J100" s="972">
        <v>30</v>
      </c>
      <c r="K100" s="972">
        <v>160</v>
      </c>
      <c r="L100" s="972">
        <v>20</v>
      </c>
      <c r="M100" s="1022"/>
      <c r="N100" s="1108"/>
      <c r="O100" s="306"/>
      <c r="P100" s="306"/>
      <c r="Q100" s="306"/>
      <c r="R100" s="306"/>
      <c r="S100" s="306"/>
      <c r="T100" s="306"/>
      <c r="U100" s="306"/>
      <c r="V100" s="306"/>
      <c r="W100" s="306"/>
      <c r="X100" s="306"/>
      <c r="Y100" s="306"/>
      <c r="Z100" s="1469"/>
    </row>
    <row r="101" spans="1:26" ht="13.5">
      <c r="A101" s="661"/>
      <c r="B101" s="4" t="str">
        <f t="shared" si="18"/>
        <v>Endivie (600 kg/a)</v>
      </c>
      <c r="D101" s="694"/>
      <c r="E101" s="943" t="s">
        <v>1022</v>
      </c>
      <c r="F101" s="972" t="s">
        <v>1023</v>
      </c>
      <c r="G101" s="1663" t="s">
        <v>57</v>
      </c>
      <c r="H101" s="1003"/>
      <c r="I101" s="1000">
        <v>160</v>
      </c>
      <c r="J101" s="972">
        <v>40</v>
      </c>
      <c r="K101" s="972">
        <v>200</v>
      </c>
      <c r="L101" s="972">
        <v>20</v>
      </c>
      <c r="M101" s="1022"/>
      <c r="N101" s="1108"/>
      <c r="O101" s="306"/>
      <c r="P101" s="306"/>
      <c r="Q101" s="306"/>
      <c r="R101" s="306"/>
      <c r="S101" s="306"/>
      <c r="T101" s="306"/>
      <c r="U101" s="306"/>
      <c r="V101" s="306"/>
      <c r="W101" s="306"/>
      <c r="X101" s="306"/>
      <c r="Y101" s="306"/>
      <c r="Z101" s="1469"/>
    </row>
    <row r="102" spans="1:26" ht="13.5">
      <c r="A102" s="661"/>
      <c r="B102" s="4" t="str">
        <f t="shared" si="18"/>
        <v>Erbsen Verarbeitung-</v>
      </c>
      <c r="D102" s="694"/>
      <c r="E102" s="943" t="s">
        <v>1024</v>
      </c>
      <c r="F102" s="972" t="s">
        <v>1025</v>
      </c>
      <c r="G102" s="1663" t="s">
        <v>57</v>
      </c>
      <c r="H102" s="1003"/>
      <c r="I102" s="1000">
        <v>0</v>
      </c>
      <c r="J102" s="972">
        <v>20</v>
      </c>
      <c r="K102" s="972">
        <v>60</v>
      </c>
      <c r="L102" s="972">
        <v>5</v>
      </c>
      <c r="M102" s="1022"/>
      <c r="N102" s="1108"/>
      <c r="O102" s="306"/>
      <c r="P102" s="306"/>
      <c r="Q102" s="306"/>
      <c r="R102" s="306"/>
      <c r="S102" s="306"/>
      <c r="T102" s="306"/>
      <c r="U102" s="306"/>
      <c r="V102" s="306"/>
      <c r="W102" s="306"/>
      <c r="X102" s="306"/>
      <c r="Y102" s="306"/>
      <c r="Z102" s="1469"/>
    </row>
    <row r="103" spans="1:26" ht="13.5">
      <c r="A103" s="661"/>
      <c r="B103" s="4" t="str">
        <f t="shared" si="18"/>
        <v>Erbsen, Kefen</v>
      </c>
      <c r="D103" s="694"/>
      <c r="E103" s="943" t="s">
        <v>1026</v>
      </c>
      <c r="F103" s="972" t="s">
        <v>1031</v>
      </c>
      <c r="G103" s="1663" t="s">
        <v>57</v>
      </c>
      <c r="H103" s="1003"/>
      <c r="I103" s="1000">
        <v>0</v>
      </c>
      <c r="J103" s="972">
        <v>30</v>
      </c>
      <c r="K103" s="972">
        <v>110</v>
      </c>
      <c r="L103" s="972">
        <v>10</v>
      </c>
      <c r="M103" s="1022"/>
      <c r="N103" s="1108"/>
      <c r="O103" s="306"/>
      <c r="P103" s="306"/>
      <c r="Q103" s="306"/>
      <c r="R103" s="306"/>
      <c r="S103" s="306"/>
      <c r="T103" s="306"/>
      <c r="U103" s="306"/>
      <c r="V103" s="306"/>
      <c r="W103" s="306"/>
      <c r="X103" s="306"/>
      <c r="Y103" s="306"/>
      <c r="Z103" s="1469"/>
    </row>
    <row r="104" spans="1:26" ht="14.25">
      <c r="A104" s="661"/>
      <c r="B104" s="4" t="str">
        <f t="shared" si="18"/>
        <v>Erdbeeren, 1-jährig, 2.0 kg/m2</v>
      </c>
      <c r="D104" s="694"/>
      <c r="E104" s="943" t="s">
        <v>1032</v>
      </c>
      <c r="F104" s="972" t="s">
        <v>2077</v>
      </c>
      <c r="G104" s="1663" t="s">
        <v>57</v>
      </c>
      <c r="H104" s="1003"/>
      <c r="I104" s="1000">
        <v>100</v>
      </c>
      <c r="J104" s="972">
        <v>34</v>
      </c>
      <c r="K104" s="972">
        <v>121</v>
      </c>
      <c r="L104" s="972">
        <v>20</v>
      </c>
      <c r="M104" s="1022"/>
      <c r="N104" s="1108"/>
      <c r="O104" s="306"/>
      <c r="P104" s="306"/>
      <c r="Q104" s="306"/>
      <c r="R104" s="306"/>
      <c r="S104" s="306"/>
      <c r="T104" s="306"/>
      <c r="U104" s="306"/>
      <c r="V104" s="306"/>
      <c r="W104" s="306"/>
      <c r="X104" s="306"/>
      <c r="Y104" s="306"/>
      <c r="Z104" s="1469"/>
    </row>
    <row r="105" spans="1:26" ht="14.25">
      <c r="A105" s="661"/>
      <c r="B105" s="4" t="str">
        <f t="shared" si="18"/>
        <v>Erdbeeren, 1-jährig, 3.0 kg/m2</v>
      </c>
      <c r="D105" s="694"/>
      <c r="E105" s="943" t="s">
        <v>1033</v>
      </c>
      <c r="F105" s="972" t="s">
        <v>2078</v>
      </c>
      <c r="G105" s="1663" t="s">
        <v>57</v>
      </c>
      <c r="H105" s="1003"/>
      <c r="I105" s="1000">
        <v>120</v>
      </c>
      <c r="J105" s="972">
        <v>46</v>
      </c>
      <c r="K105" s="972">
        <v>157</v>
      </c>
      <c r="L105" s="972">
        <v>25</v>
      </c>
      <c r="M105" s="1022"/>
      <c r="N105" s="1108"/>
      <c r="O105" s="306"/>
      <c r="P105" s="306"/>
      <c r="Q105" s="306"/>
      <c r="R105" s="306"/>
      <c r="S105" s="306"/>
      <c r="T105" s="306"/>
      <c r="U105" s="306"/>
      <c r="V105" s="306"/>
      <c r="W105" s="306"/>
      <c r="X105" s="306"/>
      <c r="Y105" s="306"/>
      <c r="Z105" s="1469"/>
    </row>
    <row r="106" spans="1:26" ht="14.25">
      <c r="A106" s="661"/>
      <c r="B106" s="4" t="str">
        <f t="shared" si="18"/>
        <v>Erdbeeren, 1-jährig, 4.0 kg/m2</v>
      </c>
      <c r="D106" s="694"/>
      <c r="E106" s="943" t="s">
        <v>2080</v>
      </c>
      <c r="F106" s="972" t="s">
        <v>2079</v>
      </c>
      <c r="G106" s="1663" t="s">
        <v>57</v>
      </c>
      <c r="H106" s="1003"/>
      <c r="I106" s="1000">
        <v>180</v>
      </c>
      <c r="J106" s="972">
        <v>80</v>
      </c>
      <c r="K106" s="972">
        <v>247</v>
      </c>
      <c r="L106" s="972">
        <v>40</v>
      </c>
      <c r="M106" s="1022"/>
      <c r="N106" s="1108"/>
      <c r="O106" s="306"/>
      <c r="P106" s="306"/>
      <c r="Q106" s="306"/>
      <c r="R106" s="306"/>
      <c r="S106" s="306"/>
      <c r="T106" s="306"/>
      <c r="U106" s="306"/>
      <c r="V106" s="306"/>
      <c r="W106" s="306"/>
      <c r="X106" s="306"/>
      <c r="Y106" s="306"/>
      <c r="Z106" s="1469"/>
    </row>
    <row r="107" spans="1:26" ht="13.5">
      <c r="A107" s="661"/>
      <c r="B107" s="4" t="str">
        <f t="shared" si="18"/>
        <v>Erdbeeren-Jungpflanzen (Tray-Pflanzen)</v>
      </c>
      <c r="D107" s="694"/>
      <c r="E107" s="943" t="s">
        <v>2082</v>
      </c>
      <c r="F107" s="972" t="s">
        <v>2081</v>
      </c>
      <c r="G107" s="1663" t="s">
        <v>57</v>
      </c>
      <c r="H107" s="1003"/>
      <c r="I107" s="1000">
        <v>120</v>
      </c>
      <c r="J107" s="972">
        <v>34</v>
      </c>
      <c r="K107" s="972">
        <v>114</v>
      </c>
      <c r="L107" s="972">
        <v>20</v>
      </c>
      <c r="M107" s="1022"/>
      <c r="N107" s="1108"/>
      <c r="O107" s="306"/>
      <c r="P107" s="306"/>
      <c r="Q107" s="306"/>
      <c r="R107" s="306"/>
      <c r="S107" s="306"/>
      <c r="T107" s="306"/>
      <c r="U107" s="306"/>
      <c r="V107" s="306"/>
      <c r="W107" s="306"/>
      <c r="X107" s="306"/>
      <c r="Y107" s="306"/>
      <c r="Z107" s="1469"/>
    </row>
    <row r="108" spans="1:26" ht="13.5">
      <c r="A108" s="661"/>
      <c r="B108" s="4" t="str">
        <f t="shared" si="18"/>
        <v>Himbeeren-Jungpflanzen (Long-Cane)</v>
      </c>
      <c r="D108" s="694"/>
      <c r="E108" s="943" t="s">
        <v>2102</v>
      </c>
      <c r="F108" s="972" t="s">
        <v>2101</v>
      </c>
      <c r="G108" s="1663" t="s">
        <v>57</v>
      </c>
      <c r="H108" s="1003"/>
      <c r="I108" s="1000">
        <v>130</v>
      </c>
      <c r="J108" s="972">
        <v>80</v>
      </c>
      <c r="K108" s="972">
        <v>169</v>
      </c>
      <c r="L108" s="972">
        <v>15</v>
      </c>
      <c r="M108" s="1022"/>
      <c r="N108" s="1108"/>
      <c r="O108" s="306"/>
      <c r="P108" s="306"/>
      <c r="Q108" s="306"/>
      <c r="R108" s="306"/>
      <c r="S108" s="306"/>
      <c r="T108" s="306"/>
      <c r="U108" s="306"/>
      <c r="V108" s="306"/>
      <c r="W108" s="306"/>
      <c r="X108" s="306"/>
      <c r="Y108" s="306"/>
      <c r="Z108" s="1469"/>
    </row>
    <row r="109" spans="1:26" ht="13.5">
      <c r="A109" s="661"/>
      <c r="B109" s="4" t="str">
        <f t="shared" si="18"/>
        <v>Federkohl (300 kg/a)</v>
      </c>
      <c r="D109" s="694"/>
      <c r="E109" s="943" t="s">
        <v>1628</v>
      </c>
      <c r="F109" s="972" t="s">
        <v>1627</v>
      </c>
      <c r="G109" s="1663" t="s">
        <v>57</v>
      </c>
      <c r="H109" s="1003"/>
      <c r="I109" s="1000">
        <v>250</v>
      </c>
      <c r="J109" s="972">
        <v>50</v>
      </c>
      <c r="K109" s="972">
        <v>160</v>
      </c>
      <c r="L109" s="972">
        <v>10</v>
      </c>
      <c r="M109" s="1022"/>
      <c r="N109" s="1108"/>
      <c r="O109" s="306"/>
      <c r="P109" s="306"/>
      <c r="Q109" s="306"/>
      <c r="R109" s="306"/>
      <c r="S109" s="306"/>
      <c r="T109" s="306"/>
      <c r="U109" s="306"/>
      <c r="V109" s="306"/>
      <c r="W109" s="306"/>
      <c r="X109" s="306"/>
      <c r="Y109" s="306"/>
      <c r="Z109" s="1469"/>
    </row>
    <row r="110" spans="1:26" ht="13.5">
      <c r="A110" s="661"/>
      <c r="B110" s="4" t="str">
        <f t="shared" si="18"/>
        <v>Fenchel Knollen-</v>
      </c>
      <c r="D110" s="694"/>
      <c r="E110" s="943" t="s">
        <v>1034</v>
      </c>
      <c r="F110" s="972" t="s">
        <v>1035</v>
      </c>
      <c r="G110" s="1663" t="s">
        <v>57</v>
      </c>
      <c r="H110" s="1003"/>
      <c r="I110" s="1000">
        <v>160</v>
      </c>
      <c r="J110" s="972">
        <v>30</v>
      </c>
      <c r="K110" s="972">
        <v>180</v>
      </c>
      <c r="L110" s="972">
        <v>20</v>
      </c>
      <c r="M110" s="1022"/>
      <c r="N110" s="1108"/>
      <c r="O110" s="306"/>
      <c r="P110" s="306"/>
      <c r="Q110" s="306"/>
      <c r="R110" s="306"/>
      <c r="S110" s="306"/>
      <c r="T110" s="306"/>
      <c r="U110" s="306"/>
      <c r="V110" s="306"/>
      <c r="W110" s="306"/>
      <c r="X110" s="306"/>
      <c r="Y110" s="306"/>
      <c r="Z110" s="1469"/>
    </row>
    <row r="111" spans="1:26" ht="13.5">
      <c r="A111" s="661"/>
      <c r="B111" s="4" t="str">
        <f t="shared" si="18"/>
        <v>Gurken, Essiggurken</v>
      </c>
      <c r="D111" s="694"/>
      <c r="E111" s="943" t="s">
        <v>1036</v>
      </c>
      <c r="F111" s="972" t="s">
        <v>1037</v>
      </c>
      <c r="G111" s="1663" t="s">
        <v>57</v>
      </c>
      <c r="H111" s="1003"/>
      <c r="I111" s="1000">
        <v>140</v>
      </c>
      <c r="J111" s="972">
        <v>30</v>
      </c>
      <c r="K111" s="972">
        <v>170</v>
      </c>
      <c r="L111" s="972">
        <v>20</v>
      </c>
      <c r="M111" s="1022"/>
      <c r="N111" s="1108"/>
      <c r="O111" s="306"/>
      <c r="P111" s="306"/>
      <c r="Q111" s="306"/>
      <c r="R111" s="306"/>
      <c r="S111" s="306"/>
      <c r="T111" s="306"/>
      <c r="U111" s="306"/>
      <c r="V111" s="306"/>
      <c r="W111" s="306"/>
      <c r="X111" s="306"/>
      <c r="Y111" s="306"/>
      <c r="Z111" s="1469"/>
    </row>
    <row r="112" spans="1:26" ht="13.5">
      <c r="A112" s="661"/>
      <c r="B112" s="4" t="str">
        <f t="shared" si="18"/>
        <v>Kabis, Einschneide-</v>
      </c>
      <c r="D112" s="694"/>
      <c r="E112" s="943" t="s">
        <v>1038</v>
      </c>
      <c r="F112" s="972" t="s">
        <v>1453</v>
      </c>
      <c r="G112" s="1663" t="s">
        <v>57</v>
      </c>
      <c r="H112" s="1003"/>
      <c r="I112" s="1000">
        <v>260</v>
      </c>
      <c r="J112" s="972">
        <v>60</v>
      </c>
      <c r="K112" s="972">
        <v>250</v>
      </c>
      <c r="L112" s="972">
        <v>20</v>
      </c>
      <c r="M112" s="1022"/>
      <c r="N112" s="1108"/>
      <c r="O112" s="306"/>
      <c r="P112" s="306"/>
      <c r="Q112" s="306"/>
      <c r="R112" s="306"/>
      <c r="S112" s="306"/>
      <c r="T112" s="306"/>
      <c r="U112" s="306"/>
      <c r="V112" s="306"/>
      <c r="W112" s="306"/>
      <c r="X112" s="306"/>
      <c r="Y112" s="306"/>
      <c r="Z112" s="1469"/>
    </row>
    <row r="113" spans="1:26" ht="13.5">
      <c r="A113" s="661"/>
      <c r="B113" s="4" t="str">
        <f t="shared" si="18"/>
        <v>Kabis, Früh-, Folie</v>
      </c>
      <c r="D113" s="694"/>
      <c r="E113" s="943" t="s">
        <v>1040</v>
      </c>
      <c r="F113" s="972" t="s">
        <v>1041</v>
      </c>
      <c r="G113" s="1663" t="s">
        <v>57</v>
      </c>
      <c r="H113" s="1003"/>
      <c r="I113" s="1000">
        <v>140</v>
      </c>
      <c r="J113" s="972">
        <v>40</v>
      </c>
      <c r="K113" s="972">
        <v>150</v>
      </c>
      <c r="L113" s="972">
        <v>10</v>
      </c>
      <c r="M113" s="1022"/>
      <c r="N113" s="1108"/>
      <c r="O113" s="306"/>
      <c r="P113" s="306"/>
      <c r="Q113" s="306"/>
      <c r="R113" s="306"/>
      <c r="S113" s="306"/>
      <c r="T113" s="306"/>
      <c r="U113" s="306"/>
      <c r="V113" s="306"/>
      <c r="W113" s="306"/>
      <c r="X113" s="306"/>
      <c r="Y113" s="306"/>
      <c r="Z113" s="1469"/>
    </row>
    <row r="114" spans="1:26" ht="13.5">
      <c r="A114" s="661"/>
      <c r="B114" s="4" t="str">
        <f t="shared" si="18"/>
        <v>Kabis, Lager-</v>
      </c>
      <c r="D114" s="694"/>
      <c r="E114" s="943" t="s">
        <v>1039</v>
      </c>
      <c r="F114" s="972" t="s">
        <v>1454</v>
      </c>
      <c r="G114" s="1663" t="s">
        <v>57</v>
      </c>
      <c r="H114" s="1003"/>
      <c r="I114" s="1000">
        <v>190</v>
      </c>
      <c r="J114" s="972">
        <v>50</v>
      </c>
      <c r="K114" s="972">
        <v>200</v>
      </c>
      <c r="L114" s="972">
        <v>20</v>
      </c>
      <c r="M114" s="1022"/>
      <c r="N114" s="1108"/>
      <c r="O114" s="306"/>
      <c r="P114" s="306"/>
      <c r="Q114" s="306"/>
      <c r="R114" s="306"/>
      <c r="S114" s="306"/>
      <c r="T114" s="306"/>
      <c r="U114" s="306"/>
      <c r="V114" s="306"/>
      <c r="W114" s="306"/>
      <c r="X114" s="306"/>
      <c r="Y114" s="306"/>
      <c r="Z114" s="1469"/>
    </row>
    <row r="115" spans="1:26" ht="13.5">
      <c r="A115" s="661"/>
      <c r="B115" s="4" t="str">
        <f t="shared" si="18"/>
        <v>Karotten, Bund-, Früh-</v>
      </c>
      <c r="D115" s="694"/>
      <c r="E115" s="943" t="s">
        <v>1042</v>
      </c>
      <c r="F115" s="972" t="s">
        <v>1043</v>
      </c>
      <c r="G115" s="1663" t="s">
        <v>57</v>
      </c>
      <c r="H115" s="1003"/>
      <c r="I115" s="1000">
        <v>100</v>
      </c>
      <c r="J115" s="972">
        <v>40</v>
      </c>
      <c r="K115" s="972">
        <v>140</v>
      </c>
      <c r="L115" s="972">
        <v>20</v>
      </c>
      <c r="M115" s="1022"/>
      <c r="N115" s="1108"/>
      <c r="O115" s="306"/>
      <c r="P115" s="306"/>
      <c r="Q115" s="306"/>
      <c r="R115" s="306"/>
      <c r="S115" s="306"/>
      <c r="T115" s="306"/>
      <c r="U115" s="306"/>
      <c r="V115" s="306"/>
      <c r="W115" s="306"/>
      <c r="X115" s="306"/>
      <c r="Y115" s="306"/>
      <c r="Z115" s="1469"/>
    </row>
    <row r="116" spans="1:26" ht="13.5">
      <c r="A116" s="661"/>
      <c r="B116" s="4" t="str">
        <f t="shared" si="18"/>
        <v>Karotten, Pariser</v>
      </c>
      <c r="D116" s="694"/>
      <c r="E116" s="943" t="s">
        <v>1044</v>
      </c>
      <c r="F116" s="972" t="s">
        <v>1045</v>
      </c>
      <c r="G116" s="1663" t="s">
        <v>57</v>
      </c>
      <c r="H116" s="1003"/>
      <c r="I116" s="1000">
        <v>50</v>
      </c>
      <c r="J116" s="972">
        <v>30</v>
      </c>
      <c r="K116" s="972">
        <v>100</v>
      </c>
      <c r="L116" s="972">
        <v>10</v>
      </c>
      <c r="M116" s="1022"/>
      <c r="N116" s="1108"/>
      <c r="O116" s="306"/>
      <c r="P116" s="306"/>
      <c r="Q116" s="306"/>
      <c r="R116" s="306"/>
      <c r="S116" s="306"/>
      <c r="T116" s="306"/>
      <c r="U116" s="306"/>
      <c r="V116" s="306"/>
      <c r="W116" s="306"/>
      <c r="X116" s="306"/>
      <c r="Y116" s="306"/>
      <c r="Z116" s="1469"/>
    </row>
    <row r="117" spans="1:26" ht="13.5">
      <c r="A117" s="661"/>
      <c r="B117" s="4" t="str">
        <f t="shared" si="18"/>
        <v>Karotten (600 kg/a), Verarbeitung-, Lager-</v>
      </c>
      <c r="D117" s="694"/>
      <c r="E117" s="943" t="s">
        <v>1046</v>
      </c>
      <c r="F117" s="972" t="s">
        <v>1047</v>
      </c>
      <c r="G117" s="1663" t="s">
        <v>57</v>
      </c>
      <c r="H117" s="1003"/>
      <c r="I117" s="1000">
        <v>110</v>
      </c>
      <c r="J117" s="972">
        <v>40</v>
      </c>
      <c r="K117" s="972">
        <v>250</v>
      </c>
      <c r="L117" s="972">
        <v>20</v>
      </c>
      <c r="M117" s="1022"/>
      <c r="N117" s="1108"/>
      <c r="O117" s="306"/>
      <c r="P117" s="306"/>
      <c r="Q117" s="306"/>
      <c r="R117" s="306"/>
      <c r="S117" s="306"/>
      <c r="T117" s="306"/>
      <c r="U117" s="306"/>
      <c r="V117" s="306"/>
      <c r="W117" s="306"/>
      <c r="X117" s="306"/>
      <c r="Y117" s="306"/>
      <c r="Z117" s="1469"/>
    </row>
    <row r="118" spans="1:26" ht="13.5">
      <c r="A118" s="661"/>
      <c r="B118" s="4" t="str">
        <f t="shared" si="18"/>
        <v>Karotten (900 kg/a), Verarbeitung-, Lager-</v>
      </c>
      <c r="D118" s="694"/>
      <c r="E118" s="943" t="s">
        <v>1048</v>
      </c>
      <c r="F118" s="972" t="s">
        <v>1049</v>
      </c>
      <c r="G118" s="1663" t="s">
        <v>57</v>
      </c>
      <c r="H118" s="1003"/>
      <c r="I118" s="1000">
        <v>130</v>
      </c>
      <c r="J118" s="972">
        <v>50</v>
      </c>
      <c r="K118" s="972">
        <v>300</v>
      </c>
      <c r="L118" s="972">
        <v>20</v>
      </c>
      <c r="M118" s="1022"/>
      <c r="N118" s="1108"/>
      <c r="O118" s="306"/>
      <c r="P118" s="306"/>
      <c r="Q118" s="306"/>
      <c r="R118" s="306"/>
      <c r="S118" s="306"/>
      <c r="T118" s="306"/>
      <c r="U118" s="306"/>
      <c r="V118" s="306"/>
      <c r="W118" s="306"/>
      <c r="X118" s="306"/>
      <c r="Y118" s="306"/>
      <c r="Z118" s="1469"/>
    </row>
    <row r="119" spans="1:26" ht="13.5">
      <c r="A119" s="661"/>
      <c r="B119" s="4" t="str">
        <f t="shared" si="18"/>
        <v>Knoblauch (200 kg/a)</v>
      </c>
      <c r="D119" s="694"/>
      <c r="E119" s="943" t="s">
        <v>1636</v>
      </c>
      <c r="F119" s="972" t="s">
        <v>1635</v>
      </c>
      <c r="G119" s="1663" t="s">
        <v>57</v>
      </c>
      <c r="H119" s="1003"/>
      <c r="I119" s="1000">
        <v>120</v>
      </c>
      <c r="J119" s="972">
        <v>30</v>
      </c>
      <c r="K119" s="972">
        <v>120</v>
      </c>
      <c r="L119" s="972">
        <v>10</v>
      </c>
      <c r="M119" s="1022"/>
      <c r="N119" s="1108"/>
      <c r="O119" s="306"/>
      <c r="P119" s="306"/>
      <c r="Q119" s="306"/>
      <c r="R119" s="306"/>
      <c r="S119" s="306"/>
      <c r="T119" s="306"/>
      <c r="U119" s="306"/>
      <c r="V119" s="306"/>
      <c r="W119" s="306"/>
      <c r="X119" s="306"/>
      <c r="Y119" s="306"/>
      <c r="Z119" s="1469"/>
    </row>
    <row r="120" spans="1:26" ht="13.5">
      <c r="A120" s="661"/>
      <c r="B120" s="4" t="str">
        <f t="shared" si="18"/>
        <v>Kohlrabi</v>
      </c>
      <c r="D120" s="694"/>
      <c r="E120" s="943" t="s">
        <v>1050</v>
      </c>
      <c r="F120" s="972" t="s">
        <v>1051</v>
      </c>
      <c r="G120" s="1663" t="s">
        <v>57</v>
      </c>
      <c r="H120" s="1003"/>
      <c r="I120" s="1000">
        <v>130</v>
      </c>
      <c r="J120" s="972">
        <v>40</v>
      </c>
      <c r="K120" s="972">
        <v>120</v>
      </c>
      <c r="L120" s="972">
        <v>20</v>
      </c>
      <c r="M120" s="1022"/>
      <c r="N120" s="1108"/>
      <c r="O120" s="306"/>
      <c r="P120" s="306"/>
      <c r="Q120" s="306"/>
      <c r="R120" s="306"/>
      <c r="S120" s="306"/>
      <c r="T120" s="306"/>
      <c r="U120" s="306"/>
      <c r="V120" s="306"/>
      <c r="W120" s="306"/>
      <c r="X120" s="306"/>
      <c r="Y120" s="306"/>
      <c r="Z120" s="1469"/>
    </row>
    <row r="121" spans="1:26" ht="13.5">
      <c r="A121" s="661"/>
      <c r="B121" s="4" t="str">
        <f t="shared" si="18"/>
        <v>Kohlrabi Verarbeitung</v>
      </c>
      <c r="D121" s="694"/>
      <c r="E121" s="943" t="s">
        <v>1052</v>
      </c>
      <c r="F121" s="972" t="s">
        <v>1053</v>
      </c>
      <c r="G121" s="1663" t="s">
        <v>57</v>
      </c>
      <c r="H121" s="1003"/>
      <c r="I121" s="1000">
        <v>170</v>
      </c>
      <c r="J121" s="972">
        <v>50</v>
      </c>
      <c r="K121" s="972">
        <v>150</v>
      </c>
      <c r="L121" s="972">
        <v>30</v>
      </c>
      <c r="M121" s="1022"/>
      <c r="N121" s="1108"/>
      <c r="O121" s="306"/>
      <c r="P121" s="306"/>
      <c r="Q121" s="306"/>
      <c r="R121" s="306"/>
      <c r="S121" s="306"/>
      <c r="T121" s="306"/>
      <c r="U121" s="306"/>
      <c r="V121" s="306"/>
      <c r="W121" s="306"/>
      <c r="X121" s="306"/>
      <c r="Y121" s="306"/>
      <c r="Z121" s="1469"/>
    </row>
    <row r="122" spans="1:26" ht="13.5">
      <c r="A122" s="661"/>
      <c r="B122" s="4" t="str">
        <f t="shared" si="18"/>
        <v>Kräuter, 1-jährig, klein (8 kg/a)</v>
      </c>
      <c r="D122" s="694"/>
      <c r="E122" s="943" t="s">
        <v>1305</v>
      </c>
      <c r="F122" s="972" t="s">
        <v>1264</v>
      </c>
      <c r="G122" s="1663" t="s">
        <v>57</v>
      </c>
      <c r="H122" s="1003"/>
      <c r="I122" s="1000">
        <v>40</v>
      </c>
      <c r="J122" s="972">
        <v>15</v>
      </c>
      <c r="K122" s="972">
        <v>60</v>
      </c>
      <c r="L122" s="972">
        <v>10</v>
      </c>
      <c r="M122" s="1022"/>
      <c r="N122" s="2560" t="s">
        <v>1068</v>
      </c>
      <c r="O122" s="306"/>
      <c r="P122" s="306"/>
      <c r="Q122" s="306"/>
      <c r="R122" s="306"/>
      <c r="S122" s="306"/>
      <c r="T122" s="306"/>
      <c r="U122" s="306"/>
      <c r="V122" s="306"/>
      <c r="W122" s="306"/>
      <c r="X122" s="306"/>
      <c r="Y122" s="306"/>
      <c r="Z122" s="1469"/>
    </row>
    <row r="123" spans="1:26" ht="13.5">
      <c r="A123" s="661"/>
      <c r="B123" s="4" t="str">
        <f t="shared" si="18"/>
        <v>Kräuter, 1-jährig, mittel (25 kg/a)</v>
      </c>
      <c r="D123" s="694"/>
      <c r="E123" s="943" t="s">
        <v>1306</v>
      </c>
      <c r="F123" s="972" t="s">
        <v>1265</v>
      </c>
      <c r="G123" s="1663" t="s">
        <v>57</v>
      </c>
      <c r="H123" s="1003"/>
      <c r="I123" s="1000">
        <v>70</v>
      </c>
      <c r="J123" s="972">
        <v>30</v>
      </c>
      <c r="K123" s="972">
        <v>160</v>
      </c>
      <c r="L123" s="972">
        <v>15</v>
      </c>
      <c r="M123" s="1022"/>
      <c r="N123" s="2561" t="s">
        <v>1069</v>
      </c>
      <c r="O123" s="306"/>
      <c r="P123" s="306"/>
      <c r="Q123" s="306"/>
      <c r="R123" s="306"/>
      <c r="S123" s="306"/>
      <c r="T123" s="306"/>
      <c r="U123" s="306"/>
      <c r="V123" s="306"/>
      <c r="W123" s="306"/>
      <c r="X123" s="306"/>
      <c r="Y123" s="306"/>
      <c r="Z123" s="1469"/>
    </row>
    <row r="124" spans="1:26" ht="13.5">
      <c r="A124" s="661"/>
      <c r="B124" s="4" t="str">
        <f t="shared" si="18"/>
        <v>Kräuter, 1-jährig, mittel-gross (50 kg/a)</v>
      </c>
      <c r="D124" s="694"/>
      <c r="E124" s="943" t="s">
        <v>1307</v>
      </c>
      <c r="F124" s="972" t="s">
        <v>1266</v>
      </c>
      <c r="G124" s="1663" t="s">
        <v>57</v>
      </c>
      <c r="H124" s="1003"/>
      <c r="I124" s="1000">
        <v>120</v>
      </c>
      <c r="J124" s="972">
        <v>40</v>
      </c>
      <c r="K124" s="972">
        <v>200</v>
      </c>
      <c r="L124" s="972">
        <v>20</v>
      </c>
      <c r="M124" s="1022"/>
      <c r="N124" s="2561" t="s">
        <v>1070</v>
      </c>
      <c r="O124" s="306"/>
      <c r="P124" s="306"/>
      <c r="Q124" s="306"/>
      <c r="R124" s="306"/>
      <c r="S124" s="306"/>
      <c r="T124" s="306"/>
      <c r="U124" s="306"/>
      <c r="V124" s="306"/>
      <c r="W124" s="306"/>
      <c r="X124" s="306"/>
      <c r="Y124" s="306"/>
      <c r="Z124" s="1469"/>
    </row>
    <row r="125" spans="1:26" ht="13.5">
      <c r="A125" s="661"/>
      <c r="B125" s="4" t="str">
        <f t="shared" si="18"/>
        <v>Kräuter, 1-jährig, gross (75 kg/a)</v>
      </c>
      <c r="D125" s="694"/>
      <c r="E125" s="943" t="s">
        <v>1308</v>
      </c>
      <c r="F125" s="972" t="s">
        <v>1267</v>
      </c>
      <c r="G125" s="1663" t="s">
        <v>57</v>
      </c>
      <c r="H125" s="1003"/>
      <c r="I125" s="1000">
        <v>160</v>
      </c>
      <c r="J125" s="972">
        <v>50</v>
      </c>
      <c r="K125" s="972">
        <v>250</v>
      </c>
      <c r="L125" s="972">
        <v>25</v>
      </c>
      <c r="M125" s="1022"/>
      <c r="N125" s="1108"/>
      <c r="O125" s="306"/>
      <c r="P125" s="306"/>
      <c r="Q125" s="306"/>
      <c r="R125" s="306"/>
      <c r="S125" s="306"/>
      <c r="T125" s="306"/>
      <c r="U125" s="306"/>
      <c r="V125" s="306"/>
      <c r="W125" s="306"/>
      <c r="X125" s="306"/>
      <c r="Y125" s="306"/>
      <c r="Z125" s="1469"/>
    </row>
    <row r="126" spans="1:26" ht="13.5">
      <c r="A126" s="661"/>
      <c r="B126" s="4" t="str">
        <f t="shared" si="18"/>
        <v>Krautstiel</v>
      </c>
      <c r="D126" s="694"/>
      <c r="E126" s="943" t="s">
        <v>1054</v>
      </c>
      <c r="F126" s="972" t="s">
        <v>1055</v>
      </c>
      <c r="G126" s="1663" t="s">
        <v>57</v>
      </c>
      <c r="H126" s="1003"/>
      <c r="I126" s="1000">
        <v>150</v>
      </c>
      <c r="J126" s="972">
        <v>60</v>
      </c>
      <c r="K126" s="972">
        <v>220</v>
      </c>
      <c r="L126" s="972">
        <v>30</v>
      </c>
      <c r="M126" s="1022"/>
      <c r="N126" s="1108"/>
      <c r="O126" s="306"/>
      <c r="P126" s="306"/>
      <c r="Q126" s="306"/>
      <c r="R126" s="306"/>
      <c r="S126" s="306"/>
      <c r="T126" s="306"/>
      <c r="U126" s="306"/>
      <c r="V126" s="306"/>
      <c r="W126" s="306"/>
      <c r="X126" s="306"/>
      <c r="Y126" s="306"/>
      <c r="Z126" s="1469"/>
    </row>
    <row r="127" spans="1:26" ht="13.5">
      <c r="A127" s="661"/>
      <c r="B127" s="4" t="str">
        <f t="shared" si="18"/>
        <v>Lauch (500 kg/a)</v>
      </c>
      <c r="D127" s="694"/>
      <c r="E127" s="943" t="s">
        <v>1056</v>
      </c>
      <c r="F127" s="972" t="s">
        <v>2048</v>
      </c>
      <c r="G127" s="1663" t="s">
        <v>57</v>
      </c>
      <c r="H127" s="1003"/>
      <c r="I127" s="1000">
        <v>200</v>
      </c>
      <c r="J127" s="972">
        <v>40</v>
      </c>
      <c r="K127" s="972">
        <v>180</v>
      </c>
      <c r="L127" s="972">
        <v>20</v>
      </c>
      <c r="M127" s="1022"/>
      <c r="N127" s="1108"/>
      <c r="O127" s="306"/>
      <c r="P127" s="306"/>
      <c r="Q127" s="306"/>
      <c r="R127" s="306"/>
      <c r="S127" s="306"/>
      <c r="T127" s="306"/>
      <c r="U127" s="306"/>
      <c r="V127" s="306"/>
      <c r="W127" s="306"/>
      <c r="X127" s="306"/>
      <c r="Y127" s="306"/>
      <c r="Z127" s="1469"/>
    </row>
    <row r="128" spans="1:26" ht="13.5">
      <c r="A128" s="661"/>
      <c r="B128" s="4" t="str">
        <f t="shared" si="18"/>
        <v>Lauch, früh gepflanzt (400 kg/a)</v>
      </c>
      <c r="D128" s="694"/>
      <c r="E128" s="943" t="s">
        <v>2053</v>
      </c>
      <c r="F128" s="972" t="s">
        <v>2049</v>
      </c>
      <c r="G128" s="1663" t="s">
        <v>57</v>
      </c>
      <c r="H128" s="1003"/>
      <c r="I128" s="1000">
        <v>230</v>
      </c>
      <c r="J128" s="972">
        <v>40</v>
      </c>
      <c r="K128" s="972">
        <v>180</v>
      </c>
      <c r="L128" s="972">
        <v>20</v>
      </c>
      <c r="M128" s="1022"/>
      <c r="N128" s="1108"/>
      <c r="O128" s="306"/>
      <c r="P128" s="306"/>
      <c r="Q128" s="306"/>
      <c r="R128" s="306"/>
      <c r="S128" s="306"/>
      <c r="T128" s="306"/>
      <c r="U128" s="306"/>
      <c r="V128" s="306"/>
      <c r="W128" s="306"/>
      <c r="X128" s="306"/>
      <c r="Y128" s="306"/>
      <c r="Z128" s="1469"/>
    </row>
    <row r="129" spans="1:26" ht="13.5">
      <c r="A129" s="661"/>
      <c r="B129" s="4" t="str">
        <f t="shared" si="18"/>
        <v>Lauch, spät gepflanzt (500 kg/a)</v>
      </c>
      <c r="D129" s="694"/>
      <c r="E129" s="943" t="s">
        <v>2054</v>
      </c>
      <c r="F129" s="972" t="s">
        <v>2050</v>
      </c>
      <c r="G129" s="1663" t="s">
        <v>57</v>
      </c>
      <c r="H129" s="1003"/>
      <c r="I129" s="1000">
        <v>230</v>
      </c>
      <c r="J129" s="972">
        <v>45</v>
      </c>
      <c r="K129" s="972">
        <v>190</v>
      </c>
      <c r="L129" s="972">
        <v>20</v>
      </c>
      <c r="M129" s="1022"/>
      <c r="N129" s="1108"/>
      <c r="O129" s="306"/>
      <c r="P129" s="306"/>
      <c r="Q129" s="306"/>
      <c r="R129" s="306"/>
      <c r="S129" s="306"/>
      <c r="T129" s="306"/>
      <c r="U129" s="306"/>
      <c r="V129" s="306"/>
      <c r="W129" s="306"/>
      <c r="X129" s="306"/>
      <c r="Y129" s="306"/>
      <c r="Z129" s="1469"/>
    </row>
    <row r="130" spans="1:26" ht="13.5">
      <c r="A130" s="661"/>
      <c r="B130" s="4" t="str">
        <f t="shared" si="18"/>
        <v>Lauch, gepflanzt (400 kg/a), Überwinterung</v>
      </c>
      <c r="D130" s="694"/>
      <c r="E130" s="943" t="s">
        <v>2055</v>
      </c>
      <c r="F130" s="972" t="s">
        <v>2051</v>
      </c>
      <c r="G130" s="1663" t="s">
        <v>57</v>
      </c>
      <c r="H130" s="1003"/>
      <c r="I130" s="1000">
        <v>240</v>
      </c>
      <c r="J130" s="972">
        <v>35</v>
      </c>
      <c r="K130" s="972">
        <v>150</v>
      </c>
      <c r="L130" s="972">
        <v>15</v>
      </c>
      <c r="M130" s="1022"/>
      <c r="N130" s="1108"/>
      <c r="O130" s="306"/>
      <c r="P130" s="306"/>
      <c r="Q130" s="306"/>
      <c r="R130" s="306"/>
      <c r="S130" s="306"/>
      <c r="T130" s="306"/>
      <c r="U130" s="306"/>
      <c r="V130" s="306"/>
      <c r="W130" s="306"/>
      <c r="X130" s="306"/>
      <c r="Y130" s="306"/>
      <c r="Z130" s="1469"/>
    </row>
    <row r="131" spans="1:26" ht="13.5">
      <c r="A131" s="661"/>
      <c r="B131" s="4" t="str">
        <f t="shared" si="18"/>
        <v>Lauch, gesät (550 kg/a)</v>
      </c>
      <c r="D131" s="694"/>
      <c r="E131" s="943" t="s">
        <v>2056</v>
      </c>
      <c r="F131" s="972" t="s">
        <v>2052</v>
      </c>
      <c r="G131" s="1663" t="s">
        <v>57</v>
      </c>
      <c r="H131" s="1003"/>
      <c r="I131" s="1000">
        <v>230</v>
      </c>
      <c r="J131" s="972">
        <v>40</v>
      </c>
      <c r="K131" s="972">
        <v>180</v>
      </c>
      <c r="L131" s="972">
        <v>20</v>
      </c>
      <c r="M131" s="1022"/>
      <c r="N131" s="1108"/>
      <c r="O131" s="306"/>
      <c r="P131" s="306"/>
      <c r="Q131" s="306"/>
      <c r="R131" s="306"/>
      <c r="S131" s="306"/>
      <c r="T131" s="306"/>
      <c r="U131" s="306"/>
      <c r="V131" s="306"/>
      <c r="W131" s="306"/>
      <c r="X131" s="306"/>
      <c r="Y131" s="306"/>
      <c r="Z131" s="1469"/>
    </row>
    <row r="132" spans="1:26" ht="13.5">
      <c r="A132" s="661"/>
      <c r="B132" s="4" t="str">
        <f t="shared" si="18"/>
        <v>Melone</v>
      </c>
      <c r="D132" s="694"/>
      <c r="E132" s="943" t="s">
        <v>1057</v>
      </c>
      <c r="F132" s="972" t="s">
        <v>1058</v>
      </c>
      <c r="G132" s="1663" t="s">
        <v>57</v>
      </c>
      <c r="H132" s="1003"/>
      <c r="I132" s="1000">
        <v>140</v>
      </c>
      <c r="J132" s="972">
        <v>30</v>
      </c>
      <c r="K132" s="972">
        <v>170</v>
      </c>
      <c r="L132" s="972">
        <v>40</v>
      </c>
      <c r="M132" s="1022"/>
      <c r="N132" s="1108"/>
      <c r="O132" s="306"/>
      <c r="P132" s="306"/>
      <c r="Q132" s="306"/>
      <c r="R132" s="306"/>
      <c r="S132" s="306"/>
      <c r="T132" s="306"/>
      <c r="U132" s="306"/>
      <c r="V132" s="306"/>
      <c r="W132" s="306"/>
      <c r="X132" s="306"/>
      <c r="Y132" s="306"/>
      <c r="Z132" s="1469"/>
    </row>
    <row r="133" spans="1:26" ht="13.5">
      <c r="A133" s="661"/>
      <c r="B133" s="4" t="str">
        <f t="shared" si="18"/>
        <v>Nüsslisalat, Feldsalat</v>
      </c>
      <c r="D133" s="694"/>
      <c r="E133" s="943" t="s">
        <v>1059</v>
      </c>
      <c r="F133" s="972" t="s">
        <v>1060</v>
      </c>
      <c r="G133" s="1663" t="s">
        <v>57</v>
      </c>
      <c r="H133" s="1003"/>
      <c r="I133" s="1000">
        <v>50</v>
      </c>
      <c r="J133" s="972">
        <v>20</v>
      </c>
      <c r="K133" s="972">
        <v>60</v>
      </c>
      <c r="L133" s="972">
        <v>10</v>
      </c>
      <c r="M133" s="1022"/>
      <c r="N133" s="1108"/>
      <c r="O133" s="306"/>
      <c r="P133" s="306"/>
      <c r="Q133" s="306"/>
      <c r="R133" s="306"/>
      <c r="S133" s="306"/>
      <c r="T133" s="306"/>
      <c r="U133" s="306"/>
      <c r="V133" s="306"/>
      <c r="W133" s="306"/>
      <c r="X133" s="306"/>
      <c r="Y133" s="306"/>
      <c r="Z133" s="1469"/>
    </row>
    <row r="134" spans="1:26" ht="13.5">
      <c r="A134" s="661"/>
      <c r="B134" s="4" t="str">
        <f t="shared" si="18"/>
        <v>Pak Choi (250 kg/a)</v>
      </c>
      <c r="D134" s="694"/>
      <c r="E134" s="943" t="s">
        <v>2012</v>
      </c>
      <c r="F134" s="972" t="s">
        <v>2011</v>
      </c>
      <c r="G134" s="1663" t="s">
        <v>57</v>
      </c>
      <c r="H134" s="1003"/>
      <c r="I134" s="1000">
        <v>180</v>
      </c>
      <c r="J134" s="972">
        <v>45</v>
      </c>
      <c r="K134" s="972">
        <v>200</v>
      </c>
      <c r="L134" s="972">
        <v>15</v>
      </c>
      <c r="M134" s="1022"/>
      <c r="N134" s="1108"/>
      <c r="O134" s="306"/>
      <c r="P134" s="306"/>
      <c r="Q134" s="306"/>
      <c r="R134" s="306"/>
      <c r="S134" s="306"/>
      <c r="T134" s="306"/>
      <c r="U134" s="306"/>
      <c r="V134" s="306"/>
      <c r="W134" s="306"/>
      <c r="X134" s="306"/>
      <c r="Y134" s="306"/>
      <c r="Z134" s="1469"/>
    </row>
    <row r="135" spans="1:26" ht="13.5">
      <c r="A135" s="661"/>
      <c r="B135" s="4" t="str">
        <f t="shared" si="18"/>
        <v>Pastinake (400 kg/a)</v>
      </c>
      <c r="D135" s="694"/>
      <c r="E135" s="943" t="s">
        <v>1634</v>
      </c>
      <c r="F135" s="972" t="s">
        <v>1633</v>
      </c>
      <c r="G135" s="1663" t="s">
        <v>57</v>
      </c>
      <c r="H135" s="1003"/>
      <c r="I135" s="1000">
        <v>180</v>
      </c>
      <c r="J135" s="972">
        <v>90</v>
      </c>
      <c r="K135" s="972">
        <v>290</v>
      </c>
      <c r="L135" s="972">
        <v>25</v>
      </c>
      <c r="M135" s="1022"/>
      <c r="N135" s="1108"/>
      <c r="O135" s="306"/>
      <c r="P135" s="306"/>
      <c r="Q135" s="306"/>
      <c r="R135" s="306"/>
      <c r="S135" s="306"/>
      <c r="T135" s="306"/>
      <c r="U135" s="306"/>
      <c r="V135" s="306"/>
      <c r="W135" s="306"/>
      <c r="X135" s="306"/>
      <c r="Y135" s="306"/>
      <c r="Z135" s="1469"/>
    </row>
    <row r="136" spans="1:26" ht="13.5">
      <c r="A136" s="661"/>
      <c r="B136" s="4" t="str">
        <f t="shared" si="18"/>
        <v>Patisson, Kürbis (400 kg/a)</v>
      </c>
      <c r="D136" s="694"/>
      <c r="E136" s="943" t="s">
        <v>2043</v>
      </c>
      <c r="F136" s="972" t="s">
        <v>2042</v>
      </c>
      <c r="G136" s="1663" t="s">
        <v>57</v>
      </c>
      <c r="H136" s="1003"/>
      <c r="I136" s="1000">
        <v>150</v>
      </c>
      <c r="J136" s="972">
        <v>60</v>
      </c>
      <c r="K136" s="972">
        <v>220</v>
      </c>
      <c r="L136" s="972">
        <v>30</v>
      </c>
      <c r="M136" s="1022"/>
      <c r="N136" s="1108"/>
      <c r="O136" s="306"/>
      <c r="P136" s="306"/>
      <c r="Q136" s="306"/>
      <c r="R136" s="306"/>
      <c r="S136" s="306"/>
      <c r="T136" s="306"/>
      <c r="U136" s="306"/>
      <c r="V136" s="306"/>
      <c r="W136" s="306"/>
      <c r="X136" s="306"/>
      <c r="Y136" s="306"/>
      <c r="Z136" s="1469"/>
    </row>
    <row r="137" spans="1:26" ht="13.5">
      <c r="A137" s="661"/>
      <c r="B137" s="4" t="str">
        <f t="shared" si="18"/>
        <v>Petersilie, bis zum 1. Schnitt (250 kg/a)</v>
      </c>
      <c r="D137" s="694"/>
      <c r="E137" s="943" t="s">
        <v>2017</v>
      </c>
      <c r="F137" s="972" t="s">
        <v>2015</v>
      </c>
      <c r="G137" s="1663" t="s">
        <v>57</v>
      </c>
      <c r="H137" s="1003"/>
      <c r="I137" s="1000">
        <v>130</v>
      </c>
      <c r="J137" s="972">
        <v>30</v>
      </c>
      <c r="K137" s="972">
        <v>150</v>
      </c>
      <c r="L137" s="972">
        <v>15</v>
      </c>
      <c r="M137" s="1022"/>
      <c r="N137" s="1108"/>
      <c r="O137" s="306"/>
      <c r="P137" s="306"/>
      <c r="Q137" s="306"/>
      <c r="R137" s="306"/>
      <c r="S137" s="306"/>
      <c r="T137" s="306"/>
      <c r="U137" s="306"/>
      <c r="V137" s="306"/>
      <c r="W137" s="306"/>
      <c r="X137" s="306"/>
      <c r="Y137" s="306"/>
      <c r="Z137" s="1469"/>
    </row>
    <row r="138" spans="1:26" ht="13.5">
      <c r="A138" s="661"/>
      <c r="B138" s="4" t="str">
        <f t="shared" si="18"/>
        <v>Petersilie, je weiterem Schnitt (150 kg/a)</v>
      </c>
      <c r="D138" s="694"/>
      <c r="E138" s="943" t="s">
        <v>2018</v>
      </c>
      <c r="F138" s="972" t="s">
        <v>2016</v>
      </c>
      <c r="G138" s="1663" t="s">
        <v>57</v>
      </c>
      <c r="H138" s="1003"/>
      <c r="I138" s="1000">
        <v>75</v>
      </c>
      <c r="J138" s="972">
        <v>20</v>
      </c>
      <c r="K138" s="972">
        <v>100</v>
      </c>
      <c r="L138" s="972">
        <v>5</v>
      </c>
      <c r="M138" s="1022"/>
      <c r="N138" s="1108"/>
      <c r="O138" s="306"/>
      <c r="P138" s="306"/>
      <c r="Q138" s="306"/>
      <c r="R138" s="306"/>
      <c r="S138" s="306"/>
      <c r="T138" s="306"/>
      <c r="U138" s="306"/>
      <c r="V138" s="306"/>
      <c r="W138" s="306"/>
      <c r="X138" s="306"/>
      <c r="Y138" s="306"/>
      <c r="Z138" s="1469"/>
    </row>
    <row r="139" spans="1:26" ht="13.5">
      <c r="A139" s="661"/>
      <c r="B139" s="4" t="str">
        <f t="shared" si="18"/>
        <v>Petersilienwurzeln (350 kg/a)</v>
      </c>
      <c r="D139" s="694"/>
      <c r="E139" s="943" t="s">
        <v>2019</v>
      </c>
      <c r="F139" s="972" t="s">
        <v>2020</v>
      </c>
      <c r="G139" s="1663" t="s">
        <v>57</v>
      </c>
      <c r="H139" s="1003"/>
      <c r="I139" s="1000">
        <v>130</v>
      </c>
      <c r="J139" s="972">
        <v>40</v>
      </c>
      <c r="K139" s="972">
        <v>250</v>
      </c>
      <c r="L139" s="972">
        <v>25</v>
      </c>
      <c r="M139" s="1022"/>
      <c r="N139" s="1108"/>
      <c r="O139" s="306"/>
      <c r="P139" s="306"/>
      <c r="Q139" s="306"/>
      <c r="R139" s="306"/>
      <c r="S139" s="306"/>
      <c r="T139" s="306"/>
      <c r="U139" s="306"/>
      <c r="V139" s="306"/>
      <c r="W139" s="306"/>
      <c r="X139" s="306"/>
      <c r="Y139" s="306"/>
      <c r="Z139" s="1469"/>
    </row>
    <row r="140" spans="1:26" ht="14.25">
      <c r="A140" s="661"/>
      <c r="B140" s="4" t="str">
        <f t="shared" si="18"/>
        <v>Radies 10 Bund/m2</v>
      </c>
      <c r="D140" s="694"/>
      <c r="E140" s="943" t="s">
        <v>1061</v>
      </c>
      <c r="F140" s="972" t="s">
        <v>934</v>
      </c>
      <c r="G140" s="1663" t="s">
        <v>57</v>
      </c>
      <c r="H140" s="1003"/>
      <c r="I140" s="1000">
        <v>50</v>
      </c>
      <c r="J140" s="972">
        <v>20</v>
      </c>
      <c r="K140" s="972">
        <v>80</v>
      </c>
      <c r="L140" s="972">
        <v>10</v>
      </c>
      <c r="M140" s="1022"/>
      <c r="N140" s="1108"/>
      <c r="O140" s="306"/>
      <c r="P140" s="306"/>
      <c r="Q140" s="306"/>
      <c r="R140" s="306"/>
      <c r="S140" s="306"/>
      <c r="T140" s="306"/>
      <c r="U140" s="306"/>
      <c r="V140" s="306"/>
      <c r="W140" s="306"/>
      <c r="X140" s="306"/>
      <c r="Y140" s="306"/>
      <c r="Z140" s="1469"/>
    </row>
    <row r="141" spans="1:26" ht="13.5">
      <c r="A141" s="661"/>
      <c r="B141" s="4" t="str">
        <f t="shared" si="18"/>
        <v>Randen</v>
      </c>
      <c r="D141" s="694"/>
      <c r="E141" s="943" t="s">
        <v>1062</v>
      </c>
      <c r="F141" s="972" t="s">
        <v>1063</v>
      </c>
      <c r="G141" s="1663" t="s">
        <v>57</v>
      </c>
      <c r="H141" s="1003"/>
      <c r="I141" s="1000">
        <v>140</v>
      </c>
      <c r="J141" s="972">
        <v>40</v>
      </c>
      <c r="K141" s="972">
        <v>160</v>
      </c>
      <c r="L141" s="972">
        <v>20</v>
      </c>
      <c r="M141" s="1022"/>
      <c r="N141" s="1108"/>
      <c r="O141" s="306"/>
      <c r="P141" s="306"/>
      <c r="Q141" s="306"/>
      <c r="R141" s="306"/>
      <c r="S141" s="306"/>
      <c r="T141" s="306"/>
      <c r="U141" s="306"/>
      <c r="V141" s="306"/>
      <c r="W141" s="306"/>
      <c r="X141" s="306"/>
      <c r="Y141" s="306"/>
      <c r="Z141" s="1469"/>
    </row>
    <row r="142" spans="1:26" ht="14.25">
      <c r="A142" s="661"/>
      <c r="B142" s="4" t="str">
        <f t="shared" si="18"/>
        <v>Rettich 8-9 Stk./m2</v>
      </c>
      <c r="D142" s="694"/>
      <c r="E142" s="943" t="s">
        <v>1064</v>
      </c>
      <c r="F142" s="972" t="s">
        <v>936</v>
      </c>
      <c r="G142" s="1663" t="s">
        <v>57</v>
      </c>
      <c r="H142" s="1003"/>
      <c r="I142" s="1000">
        <v>110</v>
      </c>
      <c r="J142" s="972">
        <v>40</v>
      </c>
      <c r="K142" s="972">
        <v>150</v>
      </c>
      <c r="L142" s="972">
        <v>10</v>
      </c>
      <c r="M142" s="1022"/>
      <c r="N142" s="1108"/>
      <c r="O142" s="306"/>
      <c r="P142" s="306"/>
      <c r="Q142" s="306"/>
      <c r="R142" s="306"/>
      <c r="S142" s="306"/>
      <c r="T142" s="306"/>
      <c r="U142" s="306"/>
      <c r="V142" s="306"/>
      <c r="W142" s="306"/>
      <c r="X142" s="306"/>
      <c r="Y142" s="306"/>
      <c r="Z142" s="1469"/>
    </row>
    <row r="143" spans="1:26" ht="13.5">
      <c r="A143" s="661"/>
      <c r="B143" s="4" t="str">
        <f t="shared" si="18"/>
        <v>Rhabarber -&gt; Eingabe bei Dauerkulturen</v>
      </c>
      <c r="D143" s="694"/>
      <c r="E143" s="943" t="s">
        <v>1065</v>
      </c>
      <c r="F143" s="972" t="s">
        <v>1231</v>
      </c>
      <c r="G143" s="1003"/>
      <c r="H143" s="1003"/>
      <c r="I143" s="1000"/>
      <c r="J143" s="972"/>
      <c r="K143" s="972"/>
      <c r="L143" s="972"/>
      <c r="M143" s="1022"/>
      <c r="N143" s="1108"/>
      <c r="O143" s="306"/>
      <c r="P143" s="306"/>
      <c r="Q143" s="306"/>
      <c r="R143" s="306"/>
      <c r="S143" s="306"/>
      <c r="T143" s="306"/>
      <c r="U143" s="306"/>
      <c r="V143" s="306"/>
      <c r="W143" s="306"/>
      <c r="X143" s="306"/>
      <c r="Y143" s="306"/>
      <c r="Z143" s="1469"/>
    </row>
    <row r="144" spans="1:26" ht="13.5">
      <c r="A144" s="661"/>
      <c r="B144" s="4" t="str">
        <f t="shared" si="18"/>
        <v>Rosenkohl, Strünke abgeführt</v>
      </c>
      <c r="D144" s="694"/>
      <c r="E144" s="943" t="s">
        <v>1075</v>
      </c>
      <c r="F144" s="972" t="s">
        <v>1076</v>
      </c>
      <c r="G144" s="1663" t="s">
        <v>57</v>
      </c>
      <c r="H144" s="1003"/>
      <c r="I144" s="1000">
        <v>260</v>
      </c>
      <c r="J144" s="972">
        <v>50</v>
      </c>
      <c r="K144" s="972">
        <v>170</v>
      </c>
      <c r="L144" s="972">
        <v>5</v>
      </c>
      <c r="M144" s="1022"/>
      <c r="N144" s="1108"/>
      <c r="O144" s="306"/>
      <c r="P144" s="306"/>
      <c r="Q144" s="306"/>
      <c r="R144" s="306"/>
      <c r="S144" s="306"/>
      <c r="T144" s="306"/>
      <c r="U144" s="306"/>
      <c r="V144" s="306"/>
      <c r="W144" s="306"/>
      <c r="X144" s="306"/>
      <c r="Y144" s="306"/>
      <c r="Z144" s="1469"/>
    </row>
    <row r="145" spans="1:26" ht="13.5">
      <c r="A145" s="661"/>
      <c r="B145" s="4" t="str">
        <f t="shared" si="18"/>
        <v>Rüben Herbst-, Mai-</v>
      </c>
      <c r="D145" s="694"/>
      <c r="E145" s="943" t="s">
        <v>1077</v>
      </c>
      <c r="F145" s="972" t="s">
        <v>1078</v>
      </c>
      <c r="G145" s="1663" t="s">
        <v>57</v>
      </c>
      <c r="H145" s="1003"/>
      <c r="I145" s="1000">
        <v>140</v>
      </c>
      <c r="J145" s="972">
        <v>30</v>
      </c>
      <c r="K145" s="972">
        <v>150</v>
      </c>
      <c r="L145" s="972">
        <v>20</v>
      </c>
      <c r="M145" s="1022"/>
      <c r="N145" s="1108"/>
      <c r="O145" s="306"/>
      <c r="P145" s="306"/>
      <c r="Q145" s="306"/>
      <c r="R145" s="306"/>
      <c r="S145" s="306"/>
      <c r="T145" s="306"/>
      <c r="U145" s="306"/>
      <c r="V145" s="306"/>
      <c r="W145" s="306"/>
      <c r="X145" s="306"/>
      <c r="Y145" s="306"/>
      <c r="Z145" s="1469"/>
    </row>
    <row r="146" spans="1:26" ht="13.5">
      <c r="A146" s="661"/>
      <c r="B146" s="4" t="str">
        <f t="shared" si="18"/>
        <v>Rucola, 1 Schnitt (200 kg/a)</v>
      </c>
      <c r="D146" s="694"/>
      <c r="E146" s="943" t="s">
        <v>1631</v>
      </c>
      <c r="F146" s="972" t="s">
        <v>1629</v>
      </c>
      <c r="G146" s="1663" t="s">
        <v>57</v>
      </c>
      <c r="H146" s="1003"/>
      <c r="I146" s="1000">
        <v>150</v>
      </c>
      <c r="J146" s="972">
        <v>30</v>
      </c>
      <c r="K146" s="972">
        <v>150</v>
      </c>
      <c r="L146" s="972">
        <v>10</v>
      </c>
      <c r="M146" s="1022"/>
      <c r="N146" s="1108"/>
      <c r="O146" s="306"/>
      <c r="P146" s="306"/>
      <c r="Q146" s="306"/>
      <c r="R146" s="306"/>
      <c r="S146" s="306"/>
      <c r="T146" s="306"/>
      <c r="U146" s="306"/>
      <c r="V146" s="306"/>
      <c r="W146" s="306"/>
      <c r="X146" s="306"/>
      <c r="Y146" s="306"/>
      <c r="Z146" s="1469"/>
    </row>
    <row r="147" spans="1:26" ht="13.5">
      <c r="A147" s="661"/>
      <c r="B147" s="4" t="str">
        <f t="shared" si="18"/>
        <v>Rucola, 2 Schnitte (300 kg/a)</v>
      </c>
      <c r="D147" s="694"/>
      <c r="E147" s="943" t="s">
        <v>1632</v>
      </c>
      <c r="F147" s="972" t="s">
        <v>1630</v>
      </c>
      <c r="G147" s="1663" t="s">
        <v>57</v>
      </c>
      <c r="H147" s="1003"/>
      <c r="I147" s="1000">
        <v>210</v>
      </c>
      <c r="J147" s="972">
        <v>40</v>
      </c>
      <c r="K147" s="972">
        <v>180</v>
      </c>
      <c r="L147" s="972">
        <v>20</v>
      </c>
      <c r="M147" s="1022"/>
      <c r="N147" s="1108"/>
      <c r="O147" s="306"/>
      <c r="P147" s="306"/>
      <c r="Q147" s="306"/>
      <c r="R147" s="306"/>
      <c r="S147" s="306"/>
      <c r="T147" s="306"/>
      <c r="U147" s="306"/>
      <c r="V147" s="306"/>
      <c r="W147" s="306"/>
      <c r="X147" s="306"/>
      <c r="Y147" s="306"/>
      <c r="Z147" s="1469"/>
    </row>
    <row r="148" spans="1:26" ht="13.5">
      <c r="A148" s="661"/>
      <c r="B148" s="4" t="str">
        <f t="shared" si="18"/>
        <v>Salate (350 kg/a), diverse</v>
      </c>
      <c r="D148" s="694"/>
      <c r="E148" s="943" t="s">
        <v>1079</v>
      </c>
      <c r="F148" s="972" t="s">
        <v>1080</v>
      </c>
      <c r="G148" s="1663" t="s">
        <v>57</v>
      </c>
      <c r="H148" s="1003"/>
      <c r="I148" s="1000">
        <v>90</v>
      </c>
      <c r="J148" s="972">
        <v>20</v>
      </c>
      <c r="K148" s="972">
        <v>70</v>
      </c>
      <c r="L148" s="972">
        <v>10</v>
      </c>
      <c r="M148" s="1022"/>
      <c r="N148" s="1108"/>
      <c r="O148" s="306"/>
      <c r="P148" s="306"/>
      <c r="Q148" s="306"/>
      <c r="R148" s="306"/>
      <c r="S148" s="306"/>
      <c r="T148" s="306"/>
      <c r="U148" s="306"/>
      <c r="V148" s="306"/>
      <c r="W148" s="306"/>
      <c r="X148" s="306"/>
      <c r="Y148" s="306"/>
      <c r="Z148" s="1469"/>
    </row>
    <row r="149" spans="1:26" ht="13.5">
      <c r="A149" s="661"/>
      <c r="B149" s="4" t="str">
        <f t="shared" si="18"/>
        <v>Salate (600 kg/a), diverse</v>
      </c>
      <c r="D149" s="694"/>
      <c r="E149" s="943" t="s">
        <v>1081</v>
      </c>
      <c r="F149" s="972" t="s">
        <v>1084</v>
      </c>
      <c r="G149" s="1663" t="s">
        <v>57</v>
      </c>
      <c r="H149" s="1003"/>
      <c r="I149" s="1000">
        <v>110</v>
      </c>
      <c r="J149" s="972">
        <v>40</v>
      </c>
      <c r="K149" s="972">
        <v>120</v>
      </c>
      <c r="L149" s="972">
        <v>10</v>
      </c>
      <c r="M149" s="1022"/>
      <c r="N149" s="1108"/>
      <c r="O149" s="306"/>
      <c r="P149" s="306"/>
      <c r="Q149" s="306"/>
      <c r="R149" s="306"/>
      <c r="S149" s="306"/>
      <c r="T149" s="306"/>
      <c r="U149" s="306"/>
      <c r="V149" s="306"/>
      <c r="W149" s="306"/>
      <c r="X149" s="306"/>
      <c r="Y149" s="306"/>
      <c r="Z149" s="1469"/>
    </row>
    <row r="150" spans="1:26" ht="13.5">
      <c r="A150" s="661"/>
      <c r="B150" s="4" t="str">
        <f t="shared" si="18"/>
        <v>Schnittlauch</v>
      </c>
      <c r="D150" s="694"/>
      <c r="E150" s="943" t="s">
        <v>1085</v>
      </c>
      <c r="F150" s="972" t="s">
        <v>1086</v>
      </c>
      <c r="G150" s="1663" t="s">
        <v>57</v>
      </c>
      <c r="H150" s="1003"/>
      <c r="I150" s="1000">
        <v>170</v>
      </c>
      <c r="J150" s="972">
        <v>30</v>
      </c>
      <c r="K150" s="972">
        <v>120</v>
      </c>
      <c r="L150" s="972">
        <v>20</v>
      </c>
      <c r="M150" s="1022"/>
      <c r="N150" s="1108"/>
      <c r="O150" s="306"/>
      <c r="P150" s="306"/>
      <c r="Q150" s="306"/>
      <c r="R150" s="306"/>
      <c r="S150" s="306"/>
      <c r="T150" s="306"/>
      <c r="U150" s="306"/>
      <c r="V150" s="306"/>
      <c r="W150" s="306"/>
      <c r="X150" s="306"/>
      <c r="Y150" s="306"/>
      <c r="Z150" s="1469"/>
    </row>
    <row r="151" spans="1:26" ht="13.5">
      <c r="A151" s="661"/>
      <c r="B151" s="4" t="str">
        <f t="shared" si="18"/>
        <v>Schnittsalat</v>
      </c>
      <c r="D151" s="694"/>
      <c r="E151" s="943" t="s">
        <v>1087</v>
      </c>
      <c r="F151" s="972" t="s">
        <v>1089</v>
      </c>
      <c r="G151" s="1663" t="s">
        <v>57</v>
      </c>
      <c r="H151" s="1003"/>
      <c r="I151" s="1000">
        <v>60</v>
      </c>
      <c r="J151" s="972">
        <v>20</v>
      </c>
      <c r="K151" s="972">
        <v>60</v>
      </c>
      <c r="L151" s="972">
        <v>20</v>
      </c>
      <c r="M151" s="1022"/>
      <c r="N151" s="1108"/>
      <c r="O151" s="306"/>
      <c r="P151" s="306"/>
      <c r="Q151" s="306"/>
      <c r="R151" s="306"/>
      <c r="S151" s="306"/>
      <c r="T151" s="306"/>
      <c r="U151" s="306"/>
      <c r="V151" s="306"/>
      <c r="W151" s="306"/>
      <c r="X151" s="306"/>
      <c r="Y151" s="306"/>
      <c r="Z151" s="1469"/>
    </row>
    <row r="152" spans="1:26" ht="13.5">
      <c r="A152" s="661"/>
      <c r="B152" s="4" t="str">
        <f t="shared" si="18"/>
        <v>Schwarzwurzel</v>
      </c>
      <c r="D152" s="694"/>
      <c r="E152" s="943" t="s">
        <v>1097</v>
      </c>
      <c r="F152" s="972" t="s">
        <v>1100</v>
      </c>
      <c r="G152" s="1663" t="s">
        <v>57</v>
      </c>
      <c r="H152" s="1003"/>
      <c r="I152" s="1000">
        <v>120</v>
      </c>
      <c r="J152" s="972">
        <v>30</v>
      </c>
      <c r="K152" s="972">
        <v>100</v>
      </c>
      <c r="L152" s="972">
        <v>10</v>
      </c>
      <c r="M152" s="1022"/>
      <c r="N152" s="1108"/>
      <c r="O152" s="306"/>
      <c r="P152" s="306"/>
      <c r="Q152" s="306"/>
      <c r="R152" s="306"/>
      <c r="S152" s="306"/>
      <c r="T152" s="306"/>
      <c r="U152" s="306"/>
      <c r="V152" s="306"/>
      <c r="W152" s="306"/>
      <c r="X152" s="306"/>
      <c r="Y152" s="306"/>
      <c r="Z152" s="1469"/>
    </row>
    <row r="153" spans="1:26" ht="13.5">
      <c r="A153" s="661"/>
      <c r="B153" s="4" t="str">
        <f t="shared" si="18"/>
        <v>Sellerie, Knollen-</v>
      </c>
      <c r="D153" s="694"/>
      <c r="E153" s="943" t="s">
        <v>1101</v>
      </c>
      <c r="F153" s="972" t="s">
        <v>1455</v>
      </c>
      <c r="G153" s="1663" t="s">
        <v>57</v>
      </c>
      <c r="H153" s="1003"/>
      <c r="I153" s="1000">
        <v>190</v>
      </c>
      <c r="J153" s="972">
        <v>70</v>
      </c>
      <c r="K153" s="972">
        <v>300</v>
      </c>
      <c r="L153" s="972">
        <v>20</v>
      </c>
      <c r="M153" s="1022"/>
      <c r="N153" s="1108"/>
      <c r="O153" s="306"/>
      <c r="P153" s="306"/>
      <c r="Q153" s="306"/>
      <c r="R153" s="306"/>
      <c r="S153" s="306"/>
      <c r="T153" s="306"/>
      <c r="U153" s="306"/>
      <c r="V153" s="306"/>
      <c r="W153" s="306"/>
      <c r="X153" s="306"/>
      <c r="Y153" s="306"/>
      <c r="Z153" s="1469"/>
    </row>
    <row r="154" spans="1:26" ht="13.5">
      <c r="A154" s="661"/>
      <c r="B154" s="4" t="str">
        <f t="shared" si="18"/>
        <v>Sellerie, Stangen-</v>
      </c>
      <c r="D154" s="694"/>
      <c r="E154" s="943" t="s">
        <v>1102</v>
      </c>
      <c r="F154" s="972" t="s">
        <v>1456</v>
      </c>
      <c r="G154" s="1663" t="s">
        <v>57</v>
      </c>
      <c r="H154" s="1003"/>
      <c r="I154" s="1000">
        <v>180</v>
      </c>
      <c r="J154" s="972">
        <v>70</v>
      </c>
      <c r="K154" s="972">
        <v>300</v>
      </c>
      <c r="L154" s="972">
        <v>20</v>
      </c>
      <c r="M154" s="1022"/>
      <c r="N154" s="1108"/>
      <c r="O154" s="306"/>
      <c r="P154" s="306"/>
      <c r="Q154" s="306"/>
      <c r="R154" s="306"/>
      <c r="S154" s="306"/>
      <c r="T154" s="306"/>
      <c r="U154" s="306"/>
      <c r="V154" s="306"/>
      <c r="W154" s="306"/>
      <c r="X154" s="306"/>
      <c r="Y154" s="306"/>
      <c r="Z154" s="1469"/>
    </row>
    <row r="155" spans="1:26" ht="14.25">
      <c r="A155" s="661"/>
      <c r="B155" s="4" t="str">
        <f t="shared" si="18"/>
        <v>Spargeln, Bleich-  -&gt; Eingabe bei Dauerkulturen</v>
      </c>
      <c r="D155" s="694"/>
      <c r="E155" s="943" t="s">
        <v>1103</v>
      </c>
      <c r="F155" s="972" t="s">
        <v>1232</v>
      </c>
      <c r="G155" s="1667" t="s">
        <v>52</v>
      </c>
      <c r="H155" s="1023" t="s">
        <v>223</v>
      </c>
      <c r="I155" s="1024" t="s">
        <v>61</v>
      </c>
      <c r="J155" s="1023" t="s">
        <v>924</v>
      </c>
      <c r="K155" s="1023" t="s">
        <v>925</v>
      </c>
      <c r="L155" s="1023" t="s">
        <v>64</v>
      </c>
      <c r="M155" s="1022"/>
      <c r="N155" s="1108"/>
      <c r="O155" s="306"/>
      <c r="P155" s="306"/>
      <c r="Q155" s="306"/>
      <c r="R155" s="306"/>
      <c r="S155" s="306"/>
      <c r="T155" s="306"/>
      <c r="U155" s="306"/>
      <c r="V155" s="306"/>
      <c r="W155" s="306"/>
      <c r="X155" s="306"/>
      <c r="Y155" s="306"/>
      <c r="Z155" s="1469" t="s">
        <v>1424</v>
      </c>
    </row>
    <row r="156" spans="1:26" ht="13.5">
      <c r="A156" s="661"/>
      <c r="B156" s="4" t="str">
        <f t="shared" si="18"/>
        <v>Spargeln, Grün-  -&gt; Eingabe bei Dauerkulturen</v>
      </c>
      <c r="D156" s="694"/>
      <c r="E156" s="943" t="s">
        <v>1104</v>
      </c>
      <c r="F156" s="972" t="s">
        <v>1233</v>
      </c>
      <c r="G156" s="1019"/>
      <c r="H156" s="1019"/>
      <c r="I156" s="1020"/>
      <c r="J156" s="978"/>
      <c r="K156" s="978"/>
      <c r="L156" s="978"/>
      <c r="M156" s="1022"/>
      <c r="N156" s="1108"/>
      <c r="O156" s="306"/>
      <c r="P156" s="306"/>
      <c r="Q156" s="306"/>
      <c r="R156" s="306"/>
      <c r="S156" s="306"/>
      <c r="T156" s="306"/>
      <c r="U156" s="306"/>
      <c r="V156" s="306"/>
      <c r="W156" s="306"/>
      <c r="X156" s="306"/>
      <c r="Y156" s="306"/>
      <c r="Z156" s="1469"/>
    </row>
    <row r="157" spans="1:26" ht="13.5">
      <c r="A157" s="661"/>
      <c r="B157" s="4" t="str">
        <f t="shared" si="18"/>
        <v>Spinat, 1 Schnitt (150 kg/a), vor Mitte April gesät</v>
      </c>
      <c r="D157" s="694"/>
      <c r="E157" s="943" t="s">
        <v>665</v>
      </c>
      <c r="F157" s="972" t="s">
        <v>2022</v>
      </c>
      <c r="G157" s="1663" t="s">
        <v>57</v>
      </c>
      <c r="H157" s="1003"/>
      <c r="I157" s="1000">
        <v>180</v>
      </c>
      <c r="J157" s="972">
        <v>25</v>
      </c>
      <c r="K157" s="972">
        <v>150</v>
      </c>
      <c r="L157" s="972">
        <v>20</v>
      </c>
      <c r="M157" s="1022"/>
      <c r="N157" s="1108"/>
      <c r="O157" s="306"/>
      <c r="P157" s="306"/>
      <c r="Q157" s="306"/>
      <c r="R157" s="306"/>
      <c r="S157" s="306"/>
      <c r="T157" s="306"/>
      <c r="U157" s="306"/>
      <c r="V157" s="306"/>
      <c r="W157" s="306"/>
      <c r="X157" s="306"/>
      <c r="Y157" s="306"/>
      <c r="Z157" s="1469"/>
    </row>
    <row r="158" spans="1:26" ht="13.5">
      <c r="A158" s="661"/>
      <c r="B158" s="4" t="str">
        <f t="shared" si="18"/>
        <v>Spinat, 2 Schnitte (200 kg/a), vor Mitte April gesät</v>
      </c>
      <c r="D158" s="694"/>
      <c r="E158" s="943" t="s">
        <v>2021</v>
      </c>
      <c r="F158" s="972" t="s">
        <v>2023</v>
      </c>
      <c r="G158" s="1663" t="s">
        <v>57</v>
      </c>
      <c r="H158" s="1003"/>
      <c r="I158" s="1000">
        <v>190</v>
      </c>
      <c r="J158" s="972">
        <v>40</v>
      </c>
      <c r="K158" s="972">
        <v>180</v>
      </c>
      <c r="L158" s="972">
        <v>25</v>
      </c>
      <c r="M158" s="1022"/>
      <c r="N158" s="1108"/>
      <c r="O158" s="306"/>
      <c r="P158" s="306"/>
      <c r="Q158" s="306"/>
      <c r="R158" s="306"/>
      <c r="S158" s="306"/>
      <c r="T158" s="306"/>
      <c r="U158" s="306"/>
      <c r="V158" s="306"/>
      <c r="W158" s="306"/>
      <c r="X158" s="306"/>
      <c r="Y158" s="306"/>
      <c r="Z158" s="1469"/>
    </row>
    <row r="159" spans="1:26" ht="13.5">
      <c r="A159" s="661"/>
      <c r="B159" s="4" t="str">
        <f t="shared" si="18"/>
        <v>Spinat, 1 Schnitt (150 kg/a), nach Mitte April gesät</v>
      </c>
      <c r="D159" s="1105"/>
      <c r="E159" s="943" t="s">
        <v>1105</v>
      </c>
      <c r="F159" s="972" t="s">
        <v>2024</v>
      </c>
      <c r="G159" s="1663" t="s">
        <v>57</v>
      </c>
      <c r="H159" s="1003"/>
      <c r="I159" s="1000">
        <v>160</v>
      </c>
      <c r="J159" s="972">
        <v>25</v>
      </c>
      <c r="K159" s="972">
        <v>150</v>
      </c>
      <c r="L159" s="972">
        <v>20</v>
      </c>
      <c r="M159" s="1022"/>
      <c r="N159" s="1108"/>
      <c r="O159" s="306"/>
      <c r="P159" s="306"/>
      <c r="Q159" s="306"/>
      <c r="R159" s="306"/>
      <c r="S159" s="306"/>
      <c r="T159" s="306"/>
      <c r="U159" s="306"/>
      <c r="V159" s="306"/>
      <c r="W159" s="306"/>
      <c r="X159" s="306"/>
      <c r="Y159" s="306"/>
      <c r="Z159" s="1469"/>
    </row>
    <row r="160" spans="1:26" ht="13.5">
      <c r="A160" s="661"/>
      <c r="B160" s="4" t="str">
        <f t="shared" si="18"/>
        <v>Spinat, 2 Schnitte (200 kg/a), nach Mitte April gesät</v>
      </c>
      <c r="D160" s="694"/>
      <c r="E160" s="943" t="s">
        <v>1106</v>
      </c>
      <c r="F160" s="972" t="s">
        <v>2025</v>
      </c>
      <c r="G160" s="1663" t="s">
        <v>57</v>
      </c>
      <c r="H160" s="1003"/>
      <c r="I160" s="1000">
        <v>170</v>
      </c>
      <c r="J160" s="972">
        <v>40</v>
      </c>
      <c r="K160" s="972">
        <v>180</v>
      </c>
      <c r="L160" s="972">
        <v>25</v>
      </c>
      <c r="M160" s="1022"/>
      <c r="N160" s="1108"/>
      <c r="O160" s="306"/>
      <c r="P160" s="306"/>
      <c r="Q160" s="306"/>
      <c r="R160" s="306"/>
      <c r="S160" s="306"/>
      <c r="T160" s="306"/>
      <c r="U160" s="306"/>
      <c r="V160" s="306"/>
      <c r="W160" s="306"/>
      <c r="X160" s="306"/>
      <c r="Y160" s="306"/>
      <c r="Z160" s="1469"/>
    </row>
    <row r="161" spans="1:26" ht="13.5">
      <c r="A161" s="661"/>
      <c r="B161" s="4" t="str">
        <f t="shared" si="18"/>
        <v>Spinat, Winter-, 1 Schnitt (250 kg/a)</v>
      </c>
      <c r="D161" s="694"/>
      <c r="E161" s="943" t="s">
        <v>2028</v>
      </c>
      <c r="F161" s="972" t="s">
        <v>2026</v>
      </c>
      <c r="G161" s="1663" t="s">
        <v>57</v>
      </c>
      <c r="H161" s="1003"/>
      <c r="I161" s="1000">
        <v>185</v>
      </c>
      <c r="J161" s="972">
        <v>25</v>
      </c>
      <c r="K161" s="972">
        <v>170</v>
      </c>
      <c r="L161" s="972">
        <v>15</v>
      </c>
      <c r="M161" s="1022"/>
      <c r="N161" s="1108"/>
      <c r="O161" s="306"/>
      <c r="P161" s="306"/>
      <c r="Q161" s="306"/>
      <c r="R161" s="306"/>
      <c r="S161" s="306"/>
      <c r="T161" s="306"/>
      <c r="U161" s="306"/>
      <c r="V161" s="306"/>
      <c r="W161" s="306"/>
      <c r="X161" s="306"/>
      <c r="Y161" s="306"/>
      <c r="Z161" s="1469"/>
    </row>
    <row r="162" spans="1:26" ht="13.5">
      <c r="A162" s="661"/>
      <c r="B162" s="4" t="str">
        <f t="shared" si="18"/>
        <v>Spinat, Winter-, 2 Schnitte (300 kg/a)</v>
      </c>
      <c r="D162" s="694"/>
      <c r="E162" s="943" t="s">
        <v>2029</v>
      </c>
      <c r="F162" s="972" t="s">
        <v>2027</v>
      </c>
      <c r="G162" s="1663" t="s">
        <v>57</v>
      </c>
      <c r="H162" s="1003"/>
      <c r="I162" s="1000">
        <v>200</v>
      </c>
      <c r="J162" s="972">
        <v>40</v>
      </c>
      <c r="K162" s="972">
        <v>180</v>
      </c>
      <c r="L162" s="972">
        <v>20</v>
      </c>
      <c r="M162" s="1022"/>
      <c r="N162" s="1108"/>
      <c r="O162" s="306"/>
      <c r="P162" s="306"/>
      <c r="Q162" s="306"/>
      <c r="R162" s="306"/>
      <c r="S162" s="306"/>
      <c r="T162" s="306"/>
      <c r="U162" s="306"/>
      <c r="V162" s="306"/>
      <c r="W162" s="306"/>
      <c r="X162" s="306"/>
      <c r="Y162" s="306"/>
      <c r="Z162" s="1469"/>
    </row>
    <row r="163" spans="1:26" ht="13.5">
      <c r="A163" s="661"/>
      <c r="B163" s="4" t="str">
        <f t="shared" si="18"/>
        <v>Spinat, Industrie, 1 Schnitt (250 kg/a), vor Mitte April gesät</v>
      </c>
      <c r="D163" s="694"/>
      <c r="E163" s="943" t="s">
        <v>2031</v>
      </c>
      <c r="F163" s="972" t="s">
        <v>2038</v>
      </c>
      <c r="G163" s="1663" t="s">
        <v>57</v>
      </c>
      <c r="H163" s="1003"/>
      <c r="I163" s="1000">
        <v>190</v>
      </c>
      <c r="J163" s="972">
        <v>30</v>
      </c>
      <c r="K163" s="972">
        <v>190</v>
      </c>
      <c r="L163" s="972">
        <v>25</v>
      </c>
      <c r="M163" s="1022"/>
      <c r="N163" s="1108"/>
      <c r="O163" s="306"/>
      <c r="P163" s="306"/>
      <c r="Q163" s="306"/>
      <c r="R163" s="306"/>
      <c r="S163" s="306"/>
      <c r="T163" s="306"/>
      <c r="U163" s="306"/>
      <c r="V163" s="306"/>
      <c r="W163" s="306"/>
      <c r="X163" s="306"/>
      <c r="Y163" s="306"/>
      <c r="Z163" s="1469"/>
    </row>
    <row r="164" spans="1:26" ht="13.5">
      <c r="A164" s="661"/>
      <c r="B164" s="4" t="str">
        <f t="shared" si="18"/>
        <v>Spinat, Industrie, 2 Schnitte (300 kg/a), vor Mitte April gesät</v>
      </c>
      <c r="D164" s="694"/>
      <c r="E164" s="943" t="s">
        <v>2032</v>
      </c>
      <c r="F164" s="972" t="s">
        <v>2039</v>
      </c>
      <c r="G164" s="1663" t="s">
        <v>57</v>
      </c>
      <c r="H164" s="1003"/>
      <c r="I164" s="1000">
        <v>200</v>
      </c>
      <c r="J164" s="972">
        <v>35</v>
      </c>
      <c r="K164" s="972">
        <v>200</v>
      </c>
      <c r="L164" s="972">
        <v>25</v>
      </c>
      <c r="M164" s="1022"/>
      <c r="N164" s="1108"/>
      <c r="O164" s="306"/>
      <c r="P164" s="306"/>
      <c r="Q164" s="306"/>
      <c r="R164" s="306"/>
      <c r="S164" s="306"/>
      <c r="T164" s="306"/>
      <c r="U164" s="306"/>
      <c r="V164" s="306"/>
      <c r="W164" s="306"/>
      <c r="X164" s="306"/>
      <c r="Y164" s="306"/>
      <c r="Z164" s="1469"/>
    </row>
    <row r="165" spans="1:26" ht="13.5">
      <c r="A165" s="661"/>
      <c r="B165" s="4" t="str">
        <f t="shared" si="18"/>
        <v>Spinat, Industrie, 1 Schnitt (250 kg/a), nach Mitte April gesät</v>
      </c>
      <c r="D165" s="694"/>
      <c r="E165" s="943" t="s">
        <v>2030</v>
      </c>
      <c r="F165" s="972" t="s">
        <v>2040</v>
      </c>
      <c r="G165" s="1663" t="s">
        <v>57</v>
      </c>
      <c r="H165" s="1003"/>
      <c r="I165" s="1000">
        <v>180</v>
      </c>
      <c r="J165" s="972">
        <v>30</v>
      </c>
      <c r="K165" s="972">
        <v>190</v>
      </c>
      <c r="L165" s="972">
        <v>25</v>
      </c>
      <c r="M165" s="1022"/>
      <c r="N165" s="1108"/>
      <c r="O165" s="306"/>
      <c r="P165" s="306"/>
      <c r="Q165" s="306"/>
      <c r="R165" s="306"/>
      <c r="S165" s="306"/>
      <c r="T165" s="306"/>
      <c r="U165" s="306"/>
      <c r="V165" s="306"/>
      <c r="W165" s="306"/>
      <c r="X165" s="306"/>
      <c r="Y165" s="306"/>
      <c r="Z165" s="1469"/>
    </row>
    <row r="166" spans="1:26" ht="13.5">
      <c r="A166" s="661"/>
      <c r="B166" s="4" t="str">
        <f t="shared" si="18"/>
        <v>Spinat, Industrie, 2 Schnitte (300 kg/a), nach Mitte April gesät</v>
      </c>
      <c r="D166" s="694"/>
      <c r="E166" s="943" t="s">
        <v>2033</v>
      </c>
      <c r="F166" s="972" t="s">
        <v>2041</v>
      </c>
      <c r="G166" s="1663" t="s">
        <v>57</v>
      </c>
      <c r="H166" s="1003"/>
      <c r="I166" s="1000">
        <v>190</v>
      </c>
      <c r="J166" s="972">
        <v>35</v>
      </c>
      <c r="K166" s="972">
        <v>200</v>
      </c>
      <c r="L166" s="972">
        <v>25</v>
      </c>
      <c r="M166" s="1022"/>
      <c r="N166" s="1108"/>
      <c r="O166" s="306"/>
      <c r="P166" s="306"/>
      <c r="Q166" s="306"/>
      <c r="R166" s="306"/>
      <c r="S166" s="306"/>
      <c r="T166" s="306"/>
      <c r="U166" s="306"/>
      <c r="V166" s="306"/>
      <c r="W166" s="306"/>
      <c r="X166" s="306"/>
      <c r="Y166" s="306"/>
      <c r="Z166" s="1469"/>
    </row>
    <row r="167" spans="1:26" ht="13.5">
      <c r="A167" s="661"/>
      <c r="B167" s="4" t="str">
        <f t="shared" si="18"/>
        <v>Spinat, Winter-, Industrie, 1 Schnitt (250 kg/a)</v>
      </c>
      <c r="D167" s="694"/>
      <c r="E167" s="943" t="s">
        <v>2034</v>
      </c>
      <c r="F167" s="972" t="s">
        <v>2036</v>
      </c>
      <c r="G167" s="1663" t="s">
        <v>57</v>
      </c>
      <c r="H167" s="1003"/>
      <c r="I167" s="1000">
        <v>190</v>
      </c>
      <c r="J167" s="972">
        <v>30</v>
      </c>
      <c r="K167" s="972">
        <v>190</v>
      </c>
      <c r="L167" s="972">
        <v>25</v>
      </c>
      <c r="M167" s="1022"/>
      <c r="N167" s="1108"/>
      <c r="O167" s="306"/>
      <c r="P167" s="306"/>
      <c r="Q167" s="306"/>
      <c r="R167" s="306"/>
      <c r="S167" s="306"/>
      <c r="T167" s="306"/>
      <c r="U167" s="306"/>
      <c r="V167" s="306"/>
      <c r="W167" s="306"/>
      <c r="X167" s="306"/>
      <c r="Y167" s="306"/>
      <c r="Z167" s="1469"/>
    </row>
    <row r="168" spans="1:26" ht="13.5">
      <c r="A168" s="661"/>
      <c r="B168" s="4" t="str">
        <f t="shared" si="18"/>
        <v>Spinat, Winter-, Industrie, 2 Schnitte (300 kg/a)</v>
      </c>
      <c r="D168" s="694"/>
      <c r="E168" s="943" t="s">
        <v>2035</v>
      </c>
      <c r="F168" s="972" t="s">
        <v>2037</v>
      </c>
      <c r="G168" s="1663" t="s">
        <v>57</v>
      </c>
      <c r="H168" s="1003"/>
      <c r="I168" s="1000">
        <v>200</v>
      </c>
      <c r="J168" s="972">
        <v>35</v>
      </c>
      <c r="K168" s="972">
        <v>200</v>
      </c>
      <c r="L168" s="972">
        <v>25</v>
      </c>
      <c r="M168" s="1022"/>
      <c r="N168" s="1108"/>
      <c r="O168" s="306"/>
      <c r="P168" s="306"/>
      <c r="Q168" s="306"/>
      <c r="R168" s="306"/>
      <c r="S168" s="306"/>
      <c r="T168" s="306"/>
      <c r="U168" s="306"/>
      <c r="V168" s="306"/>
      <c r="W168" s="306"/>
      <c r="X168" s="306"/>
      <c r="Y168" s="306"/>
      <c r="Z168" s="1469"/>
    </row>
    <row r="169" spans="1:26" ht="13.5">
      <c r="A169" s="661"/>
      <c r="B169" s="4" t="str">
        <f t="shared" si="18"/>
        <v>Süsskartoffeln (350 kg/a)</v>
      </c>
      <c r="D169" s="694"/>
      <c r="E169" s="943" t="s">
        <v>2064</v>
      </c>
      <c r="F169" s="972" t="s">
        <v>2063</v>
      </c>
      <c r="G169" s="1663" t="s">
        <v>57</v>
      </c>
      <c r="H169" s="1003"/>
      <c r="I169" s="1000">
        <v>90</v>
      </c>
      <c r="J169" s="972">
        <v>60</v>
      </c>
      <c r="K169" s="972">
        <v>150</v>
      </c>
      <c r="L169" s="972">
        <v>15</v>
      </c>
      <c r="M169" s="1022"/>
      <c r="N169" s="1108"/>
      <c r="O169" s="306"/>
      <c r="P169" s="306"/>
      <c r="Q169" s="306"/>
      <c r="R169" s="306"/>
      <c r="S169" s="306"/>
      <c r="T169" s="306"/>
      <c r="U169" s="306"/>
      <c r="V169" s="306"/>
      <c r="W169" s="306"/>
      <c r="X169" s="306"/>
      <c r="Y169" s="306"/>
      <c r="Z169" s="1469"/>
    </row>
    <row r="170" spans="1:26" ht="13.5">
      <c r="A170" s="661"/>
      <c r="B170" s="4" t="str">
        <f t="shared" si="18"/>
        <v>Tomaten</v>
      </c>
      <c r="D170" s="694"/>
      <c r="E170" s="943" t="s">
        <v>1107</v>
      </c>
      <c r="F170" s="972" t="s">
        <v>1108</v>
      </c>
      <c r="G170" s="1663" t="s">
        <v>57</v>
      </c>
      <c r="H170" s="1003"/>
      <c r="I170" s="1000">
        <v>130</v>
      </c>
      <c r="J170" s="972">
        <v>50</v>
      </c>
      <c r="K170" s="972">
        <v>260</v>
      </c>
      <c r="L170" s="972">
        <v>30</v>
      </c>
      <c r="M170" s="1022"/>
      <c r="N170" s="1108"/>
      <c r="O170" s="306"/>
      <c r="P170" s="306"/>
      <c r="Q170" s="306"/>
      <c r="R170" s="306"/>
      <c r="S170" s="306"/>
      <c r="T170" s="306"/>
      <c r="U170" s="306"/>
      <c r="V170" s="306"/>
      <c r="W170" s="306"/>
      <c r="X170" s="306"/>
      <c r="Y170" s="306"/>
      <c r="Z170" s="1469"/>
    </row>
    <row r="171" spans="1:26" ht="13.5">
      <c r="A171" s="661"/>
      <c r="B171" s="4" t="str">
        <f t="shared" si="18"/>
        <v>Viola (Stiefmütterchen, Pensée)</v>
      </c>
      <c r="D171" s="694"/>
      <c r="E171" s="943" t="s">
        <v>1109</v>
      </c>
      <c r="F171" s="972" t="s">
        <v>1110</v>
      </c>
      <c r="G171" s="1663" t="s">
        <v>57</v>
      </c>
      <c r="H171" s="1003"/>
      <c r="I171" s="1000">
        <v>50</v>
      </c>
      <c r="J171" s="972">
        <v>10</v>
      </c>
      <c r="K171" s="972">
        <v>60</v>
      </c>
      <c r="L171" s="972">
        <v>10</v>
      </c>
      <c r="M171" s="1022"/>
      <c r="N171" s="1108"/>
      <c r="O171" s="306"/>
      <c r="P171" s="306"/>
      <c r="Q171" s="306"/>
      <c r="R171" s="306"/>
      <c r="S171" s="306"/>
      <c r="T171" s="306"/>
      <c r="U171" s="306"/>
      <c r="V171" s="306"/>
      <c r="W171" s="306"/>
      <c r="X171" s="306"/>
      <c r="Y171" s="306"/>
      <c r="Z171" s="1469"/>
    </row>
    <row r="172" spans="1:26" ht="13.5">
      <c r="A172" s="661"/>
      <c r="B172" s="4" t="str">
        <f t="shared" si="18"/>
        <v>Wirz leicht (300 kg/a)</v>
      </c>
      <c r="D172" s="694"/>
      <c r="E172" s="943" t="s">
        <v>1111</v>
      </c>
      <c r="F172" s="972" t="s">
        <v>1112</v>
      </c>
      <c r="G172" s="1663" t="s">
        <v>57</v>
      </c>
      <c r="H172" s="1003"/>
      <c r="I172" s="1000">
        <v>120</v>
      </c>
      <c r="J172" s="972">
        <v>30</v>
      </c>
      <c r="K172" s="972">
        <v>140</v>
      </c>
      <c r="L172" s="972">
        <v>10</v>
      </c>
      <c r="M172" s="1022"/>
      <c r="N172" s="1108"/>
      <c r="O172" s="306"/>
      <c r="P172" s="306"/>
      <c r="Q172" s="306"/>
      <c r="R172" s="306"/>
      <c r="S172" s="306"/>
      <c r="T172" s="306"/>
      <c r="U172" s="306"/>
      <c r="V172" s="306"/>
      <c r="W172" s="306"/>
      <c r="X172" s="306"/>
      <c r="Y172" s="306"/>
      <c r="Z172" s="1469"/>
    </row>
    <row r="173" spans="1:26" ht="13.5">
      <c r="A173" s="661"/>
      <c r="B173" s="4" t="str">
        <f t="shared" si="18"/>
        <v>Wirz schwer (400 kg/a)</v>
      </c>
      <c r="D173" s="694"/>
      <c r="E173" s="943" t="s">
        <v>1113</v>
      </c>
      <c r="F173" s="972" t="s">
        <v>1114</v>
      </c>
      <c r="G173" s="1663" t="s">
        <v>57</v>
      </c>
      <c r="H173" s="1003"/>
      <c r="I173" s="1000">
        <v>140</v>
      </c>
      <c r="J173" s="972">
        <v>40</v>
      </c>
      <c r="K173" s="972">
        <v>160</v>
      </c>
      <c r="L173" s="972">
        <v>10</v>
      </c>
      <c r="M173" s="1022"/>
      <c r="N173" s="1108"/>
      <c r="O173" s="306"/>
      <c r="P173" s="306"/>
      <c r="Q173" s="306"/>
      <c r="R173" s="306"/>
      <c r="S173" s="306"/>
      <c r="T173" s="306"/>
      <c r="U173" s="306"/>
      <c r="V173" s="306"/>
      <c r="W173" s="306"/>
      <c r="X173" s="306"/>
      <c r="Y173" s="306"/>
      <c r="Z173" s="1469"/>
    </row>
    <row r="174" spans="1:26" ht="13.5">
      <c r="A174" s="661"/>
      <c r="B174" s="4" t="str">
        <f t="shared" si="18"/>
        <v>Zucchetti, gepflanzt, Sommer und Herbst (500 kg/a)</v>
      </c>
      <c r="D174" s="694"/>
      <c r="E174" s="943" t="s">
        <v>2045</v>
      </c>
      <c r="F174" s="972" t="s">
        <v>2105</v>
      </c>
      <c r="G174" s="1663" t="s">
        <v>57</v>
      </c>
      <c r="H174" s="1003"/>
      <c r="I174" s="1000">
        <v>190</v>
      </c>
      <c r="J174" s="972">
        <v>35</v>
      </c>
      <c r="K174" s="972">
        <v>140</v>
      </c>
      <c r="L174" s="972">
        <v>20</v>
      </c>
      <c r="M174" s="1022"/>
      <c r="N174" s="1108"/>
      <c r="O174" s="306"/>
      <c r="P174" s="306"/>
      <c r="Q174" s="306"/>
      <c r="R174" s="306"/>
      <c r="S174" s="306"/>
      <c r="T174" s="306"/>
      <c r="U174" s="306"/>
      <c r="V174" s="306"/>
      <c r="W174" s="306"/>
      <c r="X174" s="306"/>
      <c r="Y174" s="306"/>
      <c r="Z174" s="1469"/>
    </row>
    <row r="175" spans="1:26" ht="13.5">
      <c r="A175" s="661"/>
      <c r="B175" s="4" t="str">
        <f t="shared" si="18"/>
        <v>Zucchetti, gepflanzt, frühe Kurzkultur (450 kg/a)</v>
      </c>
      <c r="D175" s="694"/>
      <c r="E175" s="943" t="s">
        <v>2046</v>
      </c>
      <c r="F175" s="972" t="s">
        <v>2106</v>
      </c>
      <c r="G175" s="1663" t="s">
        <v>57</v>
      </c>
      <c r="H175" s="1003"/>
      <c r="I175" s="1000">
        <v>180</v>
      </c>
      <c r="J175" s="972">
        <v>30</v>
      </c>
      <c r="K175" s="972">
        <v>135</v>
      </c>
      <c r="L175" s="972">
        <v>20</v>
      </c>
      <c r="M175" s="1022"/>
      <c r="N175" s="1108"/>
      <c r="O175" s="306"/>
      <c r="P175" s="306"/>
      <c r="Q175" s="306"/>
      <c r="R175" s="306"/>
      <c r="S175" s="306"/>
      <c r="T175" s="306"/>
      <c r="U175" s="306"/>
      <c r="V175" s="306"/>
      <c r="W175" s="306"/>
      <c r="X175" s="306"/>
      <c r="Y175" s="306"/>
      <c r="Z175" s="1469"/>
    </row>
    <row r="176" spans="1:26" ht="13.5">
      <c r="A176" s="661"/>
      <c r="B176" s="4" t="str">
        <f t="shared" si="18"/>
        <v>Zucchetti, gesät, Sommer und Herbst (450 kg/a)</v>
      </c>
      <c r="D176" s="694"/>
      <c r="E176" s="943" t="s">
        <v>2047</v>
      </c>
      <c r="F176" s="972" t="s">
        <v>2107</v>
      </c>
      <c r="G176" s="1663" t="s">
        <v>57</v>
      </c>
      <c r="H176" s="1003"/>
      <c r="I176" s="1000">
        <v>170</v>
      </c>
      <c r="J176" s="972">
        <v>30</v>
      </c>
      <c r="K176" s="972">
        <v>110</v>
      </c>
      <c r="L176" s="972">
        <v>15</v>
      </c>
      <c r="M176" s="1022"/>
      <c r="N176" s="1108"/>
      <c r="O176" s="306"/>
      <c r="P176" s="306"/>
      <c r="Q176" s="306"/>
      <c r="R176" s="306"/>
      <c r="S176" s="306"/>
      <c r="T176" s="306"/>
      <c r="U176" s="306"/>
      <c r="V176" s="306"/>
      <c r="W176" s="306"/>
      <c r="X176" s="306"/>
      <c r="Y176" s="306"/>
      <c r="Z176" s="1469"/>
    </row>
    <row r="177" spans="1:26" ht="13.5">
      <c r="A177" s="661"/>
      <c r="B177" s="4" t="str">
        <f t="shared" si="18"/>
        <v>Zuckerhut</v>
      </c>
      <c r="D177" s="694"/>
      <c r="E177" s="943" t="s">
        <v>1115</v>
      </c>
      <c r="F177" s="972" t="s">
        <v>1116</v>
      </c>
      <c r="G177" s="1663" t="s">
        <v>57</v>
      </c>
      <c r="H177" s="1003"/>
      <c r="I177" s="1000">
        <v>130</v>
      </c>
      <c r="J177" s="972">
        <v>20</v>
      </c>
      <c r="K177" s="972">
        <v>90</v>
      </c>
      <c r="L177" s="972">
        <v>10</v>
      </c>
      <c r="M177" s="1022"/>
      <c r="N177" s="1108"/>
      <c r="O177" s="306"/>
      <c r="P177" s="306"/>
      <c r="Q177" s="306"/>
      <c r="R177" s="306"/>
      <c r="S177" s="306"/>
      <c r="T177" s="306"/>
      <c r="U177" s="306"/>
      <c r="V177" s="306"/>
      <c r="W177" s="306"/>
      <c r="X177" s="306"/>
      <c r="Y177" s="306"/>
      <c r="Z177" s="1469"/>
    </row>
    <row r="178" spans="1:26" ht="13.5">
      <c r="A178" s="661"/>
      <c r="B178" s="4" t="str">
        <f t="shared" si="18"/>
        <v>Zuckerhut (600 kg/a, Convenience)</v>
      </c>
      <c r="D178" s="694"/>
      <c r="E178" s="943" t="s">
        <v>531</v>
      </c>
      <c r="F178" s="972" t="s">
        <v>532</v>
      </c>
      <c r="G178" s="1663" t="s">
        <v>57</v>
      </c>
      <c r="H178" s="1003"/>
      <c r="I178" s="1000">
        <v>160</v>
      </c>
      <c r="J178" s="972">
        <v>20</v>
      </c>
      <c r="K178" s="972">
        <v>90</v>
      </c>
      <c r="L178" s="972">
        <v>10</v>
      </c>
      <c r="M178" s="1022"/>
      <c r="N178" s="1108"/>
      <c r="O178" s="306"/>
      <c r="P178" s="306"/>
      <c r="Q178" s="306"/>
      <c r="R178" s="306"/>
      <c r="S178" s="306"/>
      <c r="T178" s="306"/>
      <c r="U178" s="306"/>
      <c r="V178" s="306"/>
      <c r="W178" s="306"/>
      <c r="X178" s="306"/>
      <c r="Y178" s="306"/>
      <c r="Z178" s="1469"/>
    </row>
    <row r="179" spans="1:26" ht="13.5">
      <c r="A179" s="661"/>
      <c r="B179" s="4" t="str">
        <f t="shared" si="18"/>
        <v>Zuckermais</v>
      </c>
      <c r="D179" s="694"/>
      <c r="E179" s="943" t="s">
        <v>1117</v>
      </c>
      <c r="F179" s="972" t="s">
        <v>1118</v>
      </c>
      <c r="G179" s="1663" t="s">
        <v>57</v>
      </c>
      <c r="H179" s="1003"/>
      <c r="I179" s="1000">
        <v>150</v>
      </c>
      <c r="J179" s="972">
        <v>50</v>
      </c>
      <c r="K179" s="972">
        <v>100</v>
      </c>
      <c r="L179" s="972">
        <v>20</v>
      </c>
      <c r="M179" s="1022"/>
      <c r="N179" s="1108"/>
      <c r="O179" s="306"/>
      <c r="P179" s="306"/>
      <c r="Q179" s="306"/>
      <c r="R179" s="306"/>
      <c r="S179" s="306"/>
      <c r="T179" s="306"/>
      <c r="U179" s="306"/>
      <c r="V179" s="306"/>
      <c r="W179" s="306"/>
      <c r="X179" s="306"/>
      <c r="Y179" s="306"/>
      <c r="Z179" s="1469"/>
    </row>
    <row r="180" spans="1:26" ht="13.5">
      <c r="A180" s="661"/>
      <c r="B180" s="4" t="str">
        <f t="shared" si="18"/>
        <v>Zwiebeln (600 kg/a)</v>
      </c>
      <c r="D180" s="694"/>
      <c r="E180" s="943" t="s">
        <v>1119</v>
      </c>
      <c r="F180" s="972" t="s">
        <v>2108</v>
      </c>
      <c r="G180" s="1663" t="s">
        <v>57</v>
      </c>
      <c r="H180" s="1003"/>
      <c r="I180" s="1000">
        <v>130</v>
      </c>
      <c r="J180" s="972">
        <v>60</v>
      </c>
      <c r="K180" s="972">
        <v>160</v>
      </c>
      <c r="L180" s="972">
        <v>20</v>
      </c>
      <c r="M180" s="1022"/>
      <c r="N180" s="1108"/>
      <c r="O180" s="306"/>
      <c r="P180" s="306"/>
      <c r="Q180" s="306"/>
      <c r="R180" s="306"/>
      <c r="S180" s="306"/>
      <c r="T180" s="306"/>
      <c r="U180" s="306"/>
      <c r="V180" s="306"/>
      <c r="W180" s="306"/>
      <c r="X180" s="306"/>
      <c r="Y180" s="306"/>
      <c r="Z180" s="1469"/>
    </row>
    <row r="181" spans="1:26" ht="13.5">
      <c r="A181" s="661"/>
      <c r="B181" s="4" t="str">
        <f t="shared" si="18"/>
        <v>Bundzwiebeln, Frühjahr (250 kg/a)</v>
      </c>
      <c r="D181" s="694"/>
      <c r="E181" s="944" t="s">
        <v>2060</v>
      </c>
      <c r="F181" s="3013" t="s">
        <v>2057</v>
      </c>
      <c r="G181" s="3014" t="s">
        <v>57</v>
      </c>
      <c r="H181" s="3015"/>
      <c r="I181" s="3016">
        <v>155</v>
      </c>
      <c r="J181" s="3013">
        <v>30</v>
      </c>
      <c r="K181" s="3013">
        <v>120</v>
      </c>
      <c r="L181" s="3013">
        <v>10</v>
      </c>
      <c r="M181" s="3017"/>
      <c r="N181" s="1108"/>
      <c r="O181" s="306"/>
      <c r="P181" s="306"/>
      <c r="Q181" s="306"/>
      <c r="R181" s="306"/>
      <c r="S181" s="306"/>
      <c r="T181" s="306"/>
      <c r="U181" s="306"/>
      <c r="V181" s="306"/>
      <c r="W181" s="306"/>
      <c r="X181" s="306"/>
      <c r="Y181" s="306"/>
      <c r="Z181" s="1469"/>
    </row>
    <row r="182" spans="1:26" ht="13.5">
      <c r="A182" s="661"/>
      <c r="B182" s="4" t="str">
        <f t="shared" si="18"/>
        <v>Bundzwiebeln, Sommer (250 kg/a)</v>
      </c>
      <c r="D182" s="694"/>
      <c r="E182" s="944" t="s">
        <v>2061</v>
      </c>
      <c r="F182" s="3013" t="s">
        <v>2058</v>
      </c>
      <c r="G182" s="3014" t="s">
        <v>57</v>
      </c>
      <c r="H182" s="3015"/>
      <c r="I182" s="3016">
        <v>145</v>
      </c>
      <c r="J182" s="3013">
        <v>30</v>
      </c>
      <c r="K182" s="3013">
        <v>120</v>
      </c>
      <c r="L182" s="3013">
        <v>10</v>
      </c>
      <c r="M182" s="3017"/>
      <c r="N182" s="1108"/>
      <c r="O182" s="306"/>
      <c r="P182" s="306"/>
      <c r="Q182" s="306"/>
      <c r="R182" s="306"/>
      <c r="S182" s="306"/>
      <c r="T182" s="306"/>
      <c r="U182" s="306"/>
      <c r="V182" s="306"/>
      <c r="W182" s="306"/>
      <c r="X182" s="306"/>
      <c r="Y182" s="306"/>
      <c r="Z182" s="1469"/>
    </row>
    <row r="183" spans="1:26" ht="13.5">
      <c r="A183" s="661"/>
      <c r="B183" s="4" t="str">
        <f t="shared" si="18"/>
        <v>Bundzwiebeln, Überwinterung (250 kg/a)</v>
      </c>
      <c r="D183" s="694"/>
      <c r="E183" s="944" t="s">
        <v>2062</v>
      </c>
      <c r="F183" s="3013" t="s">
        <v>2059</v>
      </c>
      <c r="G183" s="3014" t="s">
        <v>57</v>
      </c>
      <c r="H183" s="3015"/>
      <c r="I183" s="3016">
        <v>145</v>
      </c>
      <c r="J183" s="3013">
        <v>20</v>
      </c>
      <c r="K183" s="3013">
        <v>70</v>
      </c>
      <c r="L183" s="3013">
        <v>5</v>
      </c>
      <c r="M183" s="3017"/>
      <c r="N183" s="1108"/>
      <c r="O183" s="306"/>
      <c r="P183" s="306"/>
      <c r="Q183" s="306"/>
      <c r="R183" s="306"/>
      <c r="S183" s="306"/>
      <c r="T183" s="306"/>
      <c r="U183" s="306"/>
      <c r="V183" s="306"/>
      <c r="W183" s="306"/>
      <c r="X183" s="306"/>
      <c r="Y183" s="306"/>
      <c r="Z183" s="1469"/>
    </row>
    <row r="184" spans="1:26" ht="13.5">
      <c r="A184" s="661"/>
      <c r="B184" s="4" t="str">
        <f t="shared" si="18"/>
        <v>Freilandgemüse, Mittelwert, für kleine Freilandpflanzungen mit verschiedenen Gemüsen</v>
      </c>
      <c r="D184" s="694"/>
      <c r="E184" s="945" t="s">
        <v>1120</v>
      </c>
      <c r="F184" s="976" t="s">
        <v>937</v>
      </c>
      <c r="G184" s="1665" t="s">
        <v>57</v>
      </c>
      <c r="H184" s="1025"/>
      <c r="I184" s="1007">
        <v>120</v>
      </c>
      <c r="J184" s="974">
        <v>30</v>
      </c>
      <c r="K184" s="974">
        <v>120</v>
      </c>
      <c r="L184" s="974">
        <v>15</v>
      </c>
      <c r="M184" s="1026"/>
      <c r="N184" s="1108"/>
      <c r="O184" s="306"/>
      <c r="P184" s="306"/>
      <c r="Q184" s="306"/>
      <c r="R184" s="306"/>
      <c r="S184" s="306"/>
      <c r="T184" s="306"/>
      <c r="U184" s="306"/>
      <c r="V184" s="306"/>
      <c r="W184" s="306"/>
      <c r="X184" s="306"/>
      <c r="Y184" s="306"/>
      <c r="Z184" s="1469"/>
    </row>
    <row r="185" spans="1:26" ht="6" customHeight="1">
      <c r="A185" s="661"/>
      <c r="B185" s="4" t="s">
        <v>54</v>
      </c>
      <c r="D185" s="694"/>
      <c r="E185" s="941"/>
      <c r="F185" s="977"/>
      <c r="G185" s="1009"/>
      <c r="H185" s="1009"/>
      <c r="I185" s="7"/>
      <c r="J185" s="7"/>
      <c r="K185" s="7"/>
      <c r="L185" s="7"/>
      <c r="M185" s="1027"/>
      <c r="N185" s="1108"/>
      <c r="O185" s="306"/>
      <c r="P185" s="306"/>
      <c r="Q185" s="306"/>
      <c r="R185" s="306"/>
      <c r="S185" s="306"/>
      <c r="T185" s="306"/>
      <c r="U185" s="306"/>
      <c r="V185" s="306"/>
      <c r="W185" s="306"/>
      <c r="X185" s="306"/>
      <c r="Y185" s="306"/>
      <c r="Z185" s="1469"/>
    </row>
    <row r="186" spans="1:26" ht="13.5">
      <c r="A186" s="661"/>
      <c r="B186" s="4" t="str">
        <f>F186</f>
        <v>Gründüngung (Nichtlegum., 35 dt TS)</v>
      </c>
      <c r="D186" s="694"/>
      <c r="E186" s="943" t="s">
        <v>958</v>
      </c>
      <c r="F186" s="972" t="s">
        <v>1622</v>
      </c>
      <c r="G186" s="1663" t="s">
        <v>57</v>
      </c>
      <c r="H186" s="1003"/>
      <c r="I186" s="1000">
        <v>0</v>
      </c>
      <c r="J186" s="1811">
        <v>0</v>
      </c>
      <c r="K186" s="1811">
        <v>0</v>
      </c>
      <c r="L186" s="1811">
        <v>0</v>
      </c>
      <c r="M186" s="1002"/>
      <c r="N186" s="1108"/>
      <c r="O186" s="306"/>
      <c r="P186" s="306"/>
      <c r="Q186" s="306"/>
      <c r="R186" s="306"/>
      <c r="S186" s="306"/>
      <c r="T186" s="306"/>
      <c r="U186" s="306"/>
      <c r="V186" s="306"/>
      <c r="W186" s="306"/>
      <c r="X186" s="306"/>
      <c r="Y186" s="306"/>
      <c r="Z186" s="1469"/>
    </row>
    <row r="187" spans="1:26" ht="13.5">
      <c r="A187" s="661"/>
      <c r="B187" s="4" t="str">
        <f>F187</f>
        <v>Gründüngung (Leguminosen, 35 dt TS)</v>
      </c>
      <c r="D187" s="694"/>
      <c r="E187" s="943" t="s">
        <v>959</v>
      </c>
      <c r="F187" s="972" t="s">
        <v>1623</v>
      </c>
      <c r="G187" s="1663" t="s">
        <v>57</v>
      </c>
      <c r="H187" s="1003"/>
      <c r="I187" s="1000">
        <v>0</v>
      </c>
      <c r="J187" s="1811">
        <v>0</v>
      </c>
      <c r="K187" s="1811">
        <v>0</v>
      </c>
      <c r="L187" s="1811">
        <v>0</v>
      </c>
      <c r="M187" s="1002"/>
      <c r="N187" s="1108"/>
      <c r="O187" s="306"/>
      <c r="P187" s="306"/>
      <c r="Q187" s="306"/>
      <c r="R187" s="306"/>
      <c r="S187" s="306"/>
      <c r="T187" s="306"/>
      <c r="U187" s="306"/>
      <c r="V187" s="306"/>
      <c r="W187" s="306"/>
      <c r="X187" s="306"/>
      <c r="Y187" s="306"/>
      <c r="Z187" s="1469"/>
    </row>
    <row r="188" spans="1:26" ht="13.5">
      <c r="A188" s="661"/>
      <c r="B188" s="4" t="str">
        <f>F188</f>
        <v>Nicht aufgeführte Kulturen (Leguminosen)</v>
      </c>
      <c r="D188" s="1105"/>
      <c r="E188" s="943" t="s">
        <v>1280</v>
      </c>
      <c r="F188" s="972" t="s">
        <v>1287</v>
      </c>
      <c r="G188" s="1663" t="s">
        <v>57</v>
      </c>
      <c r="H188" s="972"/>
      <c r="I188" s="1000">
        <v>0</v>
      </c>
      <c r="J188" s="972">
        <v>60</v>
      </c>
      <c r="K188" s="972">
        <v>120</v>
      </c>
      <c r="L188" s="972">
        <v>10</v>
      </c>
      <c r="M188" s="1002"/>
      <c r="N188" s="1108"/>
      <c r="O188" s="306"/>
      <c r="P188" s="306"/>
      <c r="Q188" s="306"/>
      <c r="R188" s="306"/>
      <c r="S188" s="306"/>
      <c r="T188" s="306"/>
      <c r="U188" s="306"/>
      <c r="V188" s="306"/>
      <c r="W188" s="306"/>
      <c r="X188" s="306"/>
      <c r="Y188" s="306"/>
      <c r="Z188" s="1469"/>
    </row>
    <row r="189" spans="1:26" ht="13.5">
      <c r="A189" s="661"/>
      <c r="B189" s="4" t="str">
        <f>F189</f>
        <v>Nicht aufgeführte Kulturen (Nicht-Leg., Mischungen von Leg. und Nicht-Leg.)</v>
      </c>
      <c r="D189" s="1105"/>
      <c r="E189" s="943" t="s">
        <v>1281</v>
      </c>
      <c r="F189" s="972" t="s">
        <v>96</v>
      </c>
      <c r="G189" s="1663" t="s">
        <v>57</v>
      </c>
      <c r="H189" s="972"/>
      <c r="I189" s="1000">
        <v>80</v>
      </c>
      <c r="J189" s="972">
        <v>60</v>
      </c>
      <c r="K189" s="972">
        <v>120</v>
      </c>
      <c r="L189" s="972">
        <v>10</v>
      </c>
      <c r="M189" s="1006"/>
      <c r="N189" s="1108"/>
      <c r="O189" s="306"/>
      <c r="P189" s="306"/>
      <c r="Q189" s="306"/>
      <c r="R189" s="306"/>
      <c r="S189" s="306"/>
      <c r="T189" s="306"/>
      <c r="U189" s="306"/>
      <c r="V189" s="306"/>
      <c r="W189" s="306"/>
      <c r="X189" s="306"/>
      <c r="Y189" s="306"/>
      <c r="Z189" s="1469"/>
    </row>
    <row r="190" spans="1:26" ht="6" customHeight="1" thickBot="1">
      <c r="A190" s="661"/>
      <c r="B190" s="4" t="s">
        <v>54</v>
      </c>
      <c r="D190" s="694"/>
      <c r="E190" s="941"/>
      <c r="F190" s="977"/>
      <c r="G190" s="1009"/>
      <c r="H190" s="1009"/>
      <c r="I190" s="7"/>
      <c r="J190" s="7"/>
      <c r="K190" s="7"/>
      <c r="L190" s="7"/>
      <c r="M190" s="1027"/>
      <c r="N190" s="1108"/>
      <c r="O190" s="306"/>
      <c r="P190" s="306"/>
      <c r="Q190" s="306"/>
      <c r="R190" s="306"/>
      <c r="S190" s="306"/>
      <c r="T190" s="306"/>
      <c r="U190" s="306"/>
      <c r="V190" s="306"/>
      <c r="W190" s="306"/>
      <c r="X190" s="306"/>
      <c r="Y190" s="306"/>
      <c r="Z190" s="1469"/>
    </row>
    <row r="191" spans="1:26" ht="13.5" thickBot="1">
      <c r="A191" s="661"/>
      <c r="B191" s="3058" t="s">
        <v>807</v>
      </c>
      <c r="D191" s="694"/>
      <c r="E191" s="3059" t="s">
        <v>1121</v>
      </c>
      <c r="F191" s="3060"/>
      <c r="G191" s="3061"/>
      <c r="H191" s="3061"/>
      <c r="I191" s="3060"/>
      <c r="J191" s="3060"/>
      <c r="K191" s="3060"/>
      <c r="L191" s="3060"/>
      <c r="M191" s="3062"/>
      <c r="N191" s="670" t="s">
        <v>1122</v>
      </c>
      <c r="O191" s="306"/>
      <c r="P191" s="306"/>
      <c r="Q191" s="306"/>
      <c r="R191" s="306"/>
      <c r="S191" s="306"/>
      <c r="T191" s="306"/>
      <c r="U191" s="306"/>
      <c r="V191" s="306"/>
      <c r="W191" s="306"/>
      <c r="X191" s="306"/>
      <c r="Y191" s="306"/>
      <c r="Z191" s="1469" t="s">
        <v>1424</v>
      </c>
    </row>
    <row r="192" spans="1:26">
      <c r="A192" s="661"/>
      <c r="B192" s="4" t="str">
        <f t="shared" si="18"/>
        <v>Aubergine, GH, Erdkultur</v>
      </c>
      <c r="D192" s="694"/>
      <c r="E192" s="942" t="s">
        <v>1123</v>
      </c>
      <c r="F192" s="971" t="s">
        <v>1457</v>
      </c>
      <c r="G192" s="1662" t="s">
        <v>57</v>
      </c>
      <c r="H192" s="1017"/>
      <c r="I192" s="998">
        <v>200</v>
      </c>
      <c r="J192" s="971">
        <v>100</v>
      </c>
      <c r="K192" s="971">
        <v>350</v>
      </c>
      <c r="L192" s="971">
        <v>50</v>
      </c>
      <c r="M192" s="1018"/>
      <c r="N192" s="306"/>
      <c r="O192" s="306"/>
      <c r="P192" s="306"/>
      <c r="Q192" s="306"/>
      <c r="R192" s="306"/>
      <c r="S192" s="306"/>
      <c r="T192" s="306"/>
      <c r="U192" s="306"/>
      <c r="V192" s="306"/>
      <c r="W192" s="306"/>
      <c r="X192" s="306"/>
      <c r="Y192" s="306"/>
      <c r="Z192" s="1469"/>
    </row>
    <row r="193" spans="1:26">
      <c r="A193" s="661"/>
      <c r="B193" s="4" t="str">
        <f t="shared" si="18"/>
        <v>Bohnen Stangen- , GH</v>
      </c>
      <c r="D193" s="694"/>
      <c r="E193" s="946" t="s">
        <v>1124</v>
      </c>
      <c r="F193" s="978" t="s">
        <v>1125</v>
      </c>
      <c r="G193" s="1666" t="s">
        <v>57</v>
      </c>
      <c r="H193" s="1019"/>
      <c r="I193" s="1020">
        <v>40</v>
      </c>
      <c r="J193" s="978">
        <v>80</v>
      </c>
      <c r="K193" s="978">
        <v>180</v>
      </c>
      <c r="L193" s="978">
        <v>30</v>
      </c>
      <c r="M193" s="1021"/>
      <c r="N193" s="306"/>
      <c r="O193" s="306"/>
      <c r="P193" s="306"/>
      <c r="Q193" s="306"/>
      <c r="R193" s="306"/>
      <c r="S193" s="306"/>
      <c r="T193" s="306"/>
      <c r="U193" s="306"/>
      <c r="V193" s="306"/>
      <c r="W193" s="306"/>
      <c r="X193" s="306"/>
      <c r="Y193" s="306"/>
      <c r="Z193" s="1469"/>
    </row>
    <row r="194" spans="1:26">
      <c r="A194" s="661"/>
      <c r="B194" s="4" t="str">
        <f t="shared" si="18"/>
        <v>Endivie Herbst-, GH</v>
      </c>
      <c r="D194" s="694"/>
      <c r="E194" s="946" t="s">
        <v>1126</v>
      </c>
      <c r="F194" s="978" t="s">
        <v>1127</v>
      </c>
      <c r="G194" s="1666" t="s">
        <v>57</v>
      </c>
      <c r="H194" s="1019"/>
      <c r="I194" s="1020">
        <v>140</v>
      </c>
      <c r="J194" s="978">
        <v>50</v>
      </c>
      <c r="K194" s="978">
        <v>180</v>
      </c>
      <c r="L194" s="978">
        <v>30</v>
      </c>
      <c r="M194" s="1021"/>
      <c r="N194" s="306"/>
      <c r="O194" s="306"/>
      <c r="P194" s="306"/>
      <c r="Q194" s="306"/>
      <c r="R194" s="306"/>
      <c r="S194" s="306"/>
      <c r="T194" s="306"/>
      <c r="U194" s="306"/>
      <c r="V194" s="306"/>
      <c r="W194" s="306"/>
      <c r="X194" s="306"/>
      <c r="Y194" s="306"/>
      <c r="Z194" s="1469"/>
    </row>
    <row r="195" spans="1:26">
      <c r="A195" s="661"/>
      <c r="B195" s="4" t="str">
        <f t="shared" si="18"/>
        <v>Gurken, 30 Stk./m2, GH Erdkultur</v>
      </c>
      <c r="D195" s="694"/>
      <c r="E195" s="946" t="s">
        <v>1128</v>
      </c>
      <c r="F195" s="978" t="s">
        <v>1458</v>
      </c>
      <c r="G195" s="1666" t="s">
        <v>57</v>
      </c>
      <c r="H195" s="1019"/>
      <c r="I195" s="1020">
        <v>200</v>
      </c>
      <c r="J195" s="978">
        <v>100</v>
      </c>
      <c r="K195" s="978">
        <v>300</v>
      </c>
      <c r="L195" s="978">
        <v>60</v>
      </c>
      <c r="M195" s="1021"/>
      <c r="N195" s="306"/>
      <c r="O195" s="306"/>
      <c r="P195" s="306"/>
      <c r="Q195" s="306"/>
      <c r="R195" s="306"/>
      <c r="S195" s="306"/>
      <c r="T195" s="306"/>
      <c r="U195" s="306"/>
      <c r="V195" s="306"/>
      <c r="W195" s="306"/>
      <c r="X195" s="306"/>
      <c r="Y195" s="306"/>
      <c r="Z195" s="1469"/>
    </row>
    <row r="196" spans="1:26">
      <c r="A196" s="661"/>
      <c r="B196" s="4" t="str">
        <f t="shared" si="18"/>
        <v>Gurken, 50 Stk./m2, GH Erdkultur</v>
      </c>
      <c r="D196" s="694"/>
      <c r="E196" s="946" t="s">
        <v>1442</v>
      </c>
      <c r="F196" s="978" t="s">
        <v>1459</v>
      </c>
      <c r="G196" s="1666" t="s">
        <v>57</v>
      </c>
      <c r="H196" s="1019"/>
      <c r="I196" s="1020">
        <v>300</v>
      </c>
      <c r="J196" s="978">
        <v>150</v>
      </c>
      <c r="K196" s="978">
        <v>400</v>
      </c>
      <c r="L196" s="978">
        <v>80</v>
      </c>
      <c r="M196" s="1021"/>
      <c r="N196" s="306"/>
      <c r="O196" s="306"/>
      <c r="P196" s="306"/>
      <c r="Q196" s="306"/>
      <c r="R196" s="306"/>
      <c r="S196" s="306"/>
      <c r="T196" s="306"/>
      <c r="U196" s="306"/>
      <c r="V196" s="306"/>
      <c r="W196" s="306"/>
      <c r="X196" s="306"/>
      <c r="Y196" s="306"/>
      <c r="Z196" s="1469"/>
    </row>
    <row r="197" spans="1:26">
      <c r="A197" s="661"/>
      <c r="B197" s="4" t="str">
        <f t="shared" ref="B197:B265" si="19">F197</f>
        <v>Kohlrabi, GH</v>
      </c>
      <c r="D197" s="694"/>
      <c r="E197" s="946" t="s">
        <v>1129</v>
      </c>
      <c r="F197" s="978" t="s">
        <v>1130</v>
      </c>
      <c r="G197" s="1666" t="s">
        <v>57</v>
      </c>
      <c r="H197" s="1019"/>
      <c r="I197" s="1020">
        <v>140</v>
      </c>
      <c r="J197" s="978">
        <v>60</v>
      </c>
      <c r="K197" s="978">
        <v>200</v>
      </c>
      <c r="L197" s="978">
        <v>30</v>
      </c>
      <c r="M197" s="1021"/>
      <c r="N197" s="306"/>
      <c r="O197" s="306"/>
      <c r="P197" s="306"/>
      <c r="Q197" s="306"/>
      <c r="R197" s="306"/>
      <c r="S197" s="306"/>
      <c r="T197" s="306"/>
      <c r="U197" s="306"/>
      <c r="V197" s="306"/>
      <c r="W197" s="306"/>
      <c r="X197" s="306"/>
      <c r="Y197" s="306"/>
      <c r="Z197" s="1469"/>
    </row>
    <row r="198" spans="1:26">
      <c r="A198" s="661"/>
      <c r="B198" s="4" t="str">
        <f t="shared" si="19"/>
        <v>Krautstiel, GH</v>
      </c>
      <c r="D198" s="694"/>
      <c r="E198" s="946" t="s">
        <v>1131</v>
      </c>
      <c r="F198" s="978" t="s">
        <v>1132</v>
      </c>
      <c r="G198" s="1666" t="s">
        <v>57</v>
      </c>
      <c r="H198" s="1019"/>
      <c r="I198" s="1020">
        <v>200</v>
      </c>
      <c r="J198" s="978">
        <v>100</v>
      </c>
      <c r="K198" s="978">
        <v>400</v>
      </c>
      <c r="L198" s="978">
        <v>50</v>
      </c>
      <c r="M198" s="1021"/>
      <c r="N198" s="306"/>
      <c r="O198" s="306"/>
      <c r="P198" s="306"/>
      <c r="Q198" s="306"/>
      <c r="R198" s="306"/>
      <c r="S198" s="306"/>
      <c r="T198" s="306"/>
      <c r="U198" s="306"/>
      <c r="V198" s="306"/>
      <c r="W198" s="306"/>
      <c r="X198" s="306"/>
      <c r="Y198" s="306"/>
      <c r="Z198" s="1469"/>
    </row>
    <row r="199" spans="1:26">
      <c r="A199" s="661"/>
      <c r="B199" s="4" t="str">
        <f t="shared" si="19"/>
        <v>Kresse, GH</v>
      </c>
      <c r="D199" s="694"/>
      <c r="E199" s="946" t="s">
        <v>1133</v>
      </c>
      <c r="F199" s="978" t="s">
        <v>1134</v>
      </c>
      <c r="G199" s="1666" t="s">
        <v>57</v>
      </c>
      <c r="H199" s="1019"/>
      <c r="I199" s="1020">
        <v>20</v>
      </c>
      <c r="J199" s="978">
        <v>10</v>
      </c>
      <c r="K199" s="978">
        <v>30</v>
      </c>
      <c r="L199" s="978">
        <v>10</v>
      </c>
      <c r="M199" s="1021"/>
      <c r="N199" s="306"/>
      <c r="O199" s="306"/>
      <c r="P199" s="306"/>
      <c r="Q199" s="306"/>
      <c r="R199" s="306"/>
      <c r="S199" s="306"/>
      <c r="T199" s="306"/>
      <c r="U199" s="306"/>
      <c r="V199" s="306"/>
      <c r="W199" s="306"/>
      <c r="X199" s="306"/>
      <c r="Y199" s="306"/>
      <c r="Z199" s="1469"/>
    </row>
    <row r="200" spans="1:26">
      <c r="A200" s="661"/>
      <c r="B200" s="4" t="str">
        <f t="shared" si="19"/>
        <v>Lauch, GH</v>
      </c>
      <c r="D200" s="694"/>
      <c r="E200" s="946" t="s">
        <v>1135</v>
      </c>
      <c r="F200" s="978" t="s">
        <v>1136</v>
      </c>
      <c r="G200" s="1666" t="s">
        <v>57</v>
      </c>
      <c r="H200" s="1019"/>
      <c r="I200" s="1020">
        <v>160</v>
      </c>
      <c r="J200" s="978">
        <v>60</v>
      </c>
      <c r="K200" s="978">
        <v>220</v>
      </c>
      <c r="L200" s="978">
        <v>30</v>
      </c>
      <c r="M200" s="1021"/>
      <c r="N200" s="306"/>
      <c r="O200" s="306"/>
      <c r="P200" s="306"/>
      <c r="Q200" s="306"/>
      <c r="R200" s="306"/>
      <c r="S200" s="306"/>
      <c r="T200" s="306"/>
      <c r="U200" s="306"/>
      <c r="V200" s="306"/>
      <c r="W200" s="306"/>
      <c r="X200" s="306"/>
      <c r="Y200" s="306"/>
      <c r="Z200" s="1469"/>
    </row>
    <row r="201" spans="1:26">
      <c r="A201" s="661"/>
      <c r="B201" s="4" t="str">
        <f t="shared" si="19"/>
        <v>Nüsslisalat, Feldsalat, GH</v>
      </c>
      <c r="D201" s="694"/>
      <c r="E201" s="946" t="s">
        <v>1137</v>
      </c>
      <c r="F201" s="978" t="s">
        <v>1138</v>
      </c>
      <c r="G201" s="1666" t="s">
        <v>57</v>
      </c>
      <c r="H201" s="1019"/>
      <c r="I201" s="1020">
        <v>50</v>
      </c>
      <c r="J201" s="978">
        <v>10</v>
      </c>
      <c r="K201" s="978">
        <v>60</v>
      </c>
      <c r="L201" s="978">
        <v>10</v>
      </c>
      <c r="M201" s="1021"/>
      <c r="N201" s="306"/>
      <c r="O201" s="306"/>
      <c r="P201" s="306"/>
      <c r="Q201" s="306"/>
      <c r="R201" s="306"/>
      <c r="S201" s="306"/>
      <c r="T201" s="306"/>
      <c r="U201" s="306"/>
      <c r="V201" s="306"/>
      <c r="W201" s="306"/>
      <c r="X201" s="306"/>
      <c r="Y201" s="306"/>
      <c r="Z201" s="1469"/>
    </row>
    <row r="202" spans="1:26">
      <c r="A202" s="661"/>
      <c r="B202" s="4" t="str">
        <f t="shared" si="19"/>
        <v>Paprika, GH, Bodenkultur</v>
      </c>
      <c r="D202" s="694"/>
      <c r="E202" s="946" t="s">
        <v>1139</v>
      </c>
      <c r="F202" s="978" t="s">
        <v>1140</v>
      </c>
      <c r="G202" s="1666" t="s">
        <v>57</v>
      </c>
      <c r="H202" s="1019"/>
      <c r="I202" s="1020">
        <v>160</v>
      </c>
      <c r="J202" s="978">
        <v>50</v>
      </c>
      <c r="K202" s="978">
        <v>250</v>
      </c>
      <c r="L202" s="978">
        <v>30</v>
      </c>
      <c r="M202" s="1021"/>
      <c r="N202" s="306"/>
      <c r="O202" s="306"/>
      <c r="P202" s="306"/>
      <c r="Q202" s="306"/>
      <c r="R202" s="306"/>
      <c r="S202" s="306"/>
      <c r="T202" s="306"/>
      <c r="U202" s="306"/>
      <c r="V202" s="306"/>
      <c r="W202" s="306"/>
      <c r="X202" s="306"/>
      <c r="Y202" s="306"/>
      <c r="Z202" s="1469"/>
    </row>
    <row r="203" spans="1:26">
      <c r="A203" s="661"/>
      <c r="B203" s="4" t="str">
        <f t="shared" si="19"/>
        <v>Petersilie, GH</v>
      </c>
      <c r="D203" s="694"/>
      <c r="E203" s="946" t="s">
        <v>1141</v>
      </c>
      <c r="F203" s="978" t="s">
        <v>1142</v>
      </c>
      <c r="G203" s="1666" t="s">
        <v>57</v>
      </c>
      <c r="H203" s="1019"/>
      <c r="I203" s="1020">
        <v>100</v>
      </c>
      <c r="J203" s="978">
        <v>50</v>
      </c>
      <c r="K203" s="978">
        <v>180</v>
      </c>
      <c r="L203" s="978">
        <v>20</v>
      </c>
      <c r="M203" s="1021"/>
      <c r="N203" s="306"/>
      <c r="O203" s="306"/>
      <c r="P203" s="306"/>
      <c r="Q203" s="306"/>
      <c r="R203" s="306"/>
      <c r="S203" s="306"/>
      <c r="T203" s="306"/>
      <c r="U203" s="306"/>
      <c r="V203" s="306"/>
      <c r="W203" s="306"/>
      <c r="X203" s="306"/>
      <c r="Y203" s="306"/>
      <c r="Z203" s="1469"/>
    </row>
    <row r="204" spans="1:26">
      <c r="A204" s="661"/>
      <c r="B204" s="4" t="str">
        <f t="shared" si="19"/>
        <v>Radies 20 Bund/m2, GH</v>
      </c>
      <c r="D204" s="694"/>
      <c r="E204" s="946" t="s">
        <v>1143</v>
      </c>
      <c r="F204" s="978" t="s">
        <v>1144</v>
      </c>
      <c r="G204" s="1666" t="s">
        <v>57</v>
      </c>
      <c r="H204" s="1019"/>
      <c r="I204" s="1020">
        <v>60</v>
      </c>
      <c r="J204" s="978">
        <v>30</v>
      </c>
      <c r="K204" s="978">
        <v>100</v>
      </c>
      <c r="L204" s="978">
        <v>20</v>
      </c>
      <c r="M204" s="1021"/>
      <c r="N204" s="306"/>
      <c r="O204" s="306"/>
      <c r="P204" s="306"/>
      <c r="Q204" s="306"/>
      <c r="R204" s="306"/>
      <c r="S204" s="306"/>
      <c r="T204" s="306"/>
      <c r="U204" s="306"/>
      <c r="V204" s="306"/>
      <c r="W204" s="306"/>
      <c r="X204" s="306"/>
      <c r="Y204" s="306"/>
      <c r="Z204" s="1469"/>
    </row>
    <row r="205" spans="1:26">
      <c r="A205" s="661"/>
      <c r="B205" s="4" t="str">
        <f t="shared" si="19"/>
        <v>Rettich 18 Stk/m2, GH</v>
      </c>
      <c r="D205" s="694"/>
      <c r="E205" s="946" t="s">
        <v>1145</v>
      </c>
      <c r="F205" s="978" t="s">
        <v>1146</v>
      </c>
      <c r="G205" s="1666" t="s">
        <v>57</v>
      </c>
      <c r="H205" s="1019"/>
      <c r="I205" s="1020">
        <v>90</v>
      </c>
      <c r="J205" s="978">
        <v>50</v>
      </c>
      <c r="K205" s="978">
        <v>200</v>
      </c>
      <c r="L205" s="978">
        <v>30</v>
      </c>
      <c r="M205" s="1021"/>
      <c r="N205" s="306"/>
      <c r="O205" s="306"/>
      <c r="P205" s="306"/>
      <c r="Q205" s="306"/>
      <c r="R205" s="306"/>
      <c r="S205" s="306"/>
      <c r="T205" s="306"/>
      <c r="U205" s="306"/>
      <c r="V205" s="306"/>
      <c r="W205" s="306"/>
      <c r="X205" s="306"/>
      <c r="Y205" s="306"/>
      <c r="Z205" s="1469"/>
    </row>
    <row r="206" spans="1:26">
      <c r="A206" s="661"/>
      <c r="B206" s="4" t="str">
        <f t="shared" si="19"/>
        <v>Portulak, GH</v>
      </c>
      <c r="D206" s="694"/>
      <c r="E206" s="946" t="s">
        <v>1444</v>
      </c>
      <c r="F206" s="978" t="s">
        <v>1443</v>
      </c>
      <c r="G206" s="1666" t="s">
        <v>57</v>
      </c>
      <c r="H206" s="1019"/>
      <c r="I206" s="1020">
        <v>70</v>
      </c>
      <c r="J206" s="978">
        <v>20</v>
      </c>
      <c r="K206" s="978">
        <v>90</v>
      </c>
      <c r="L206" s="978">
        <v>20</v>
      </c>
      <c r="M206" s="1021"/>
      <c r="N206" s="306"/>
      <c r="O206" s="306"/>
      <c r="P206" s="306"/>
      <c r="Q206" s="306"/>
      <c r="R206" s="306"/>
      <c r="S206" s="306"/>
      <c r="T206" s="306"/>
      <c r="U206" s="306"/>
      <c r="V206" s="306"/>
      <c r="W206" s="306"/>
      <c r="X206" s="306"/>
      <c r="Y206" s="306"/>
      <c r="Z206" s="1469"/>
    </row>
    <row r="207" spans="1:26">
      <c r="A207" s="661"/>
      <c r="B207" s="4" t="str">
        <f t="shared" si="19"/>
        <v>Rucola, 1 Schnitt, GH</v>
      </c>
      <c r="D207" s="694"/>
      <c r="E207" s="946" t="s">
        <v>1147</v>
      </c>
      <c r="F207" s="978" t="s">
        <v>1148</v>
      </c>
      <c r="G207" s="1666" t="s">
        <v>57</v>
      </c>
      <c r="H207" s="1019"/>
      <c r="I207" s="1020">
        <v>150</v>
      </c>
      <c r="J207" s="978">
        <v>30</v>
      </c>
      <c r="K207" s="978">
        <v>150</v>
      </c>
      <c r="L207" s="978">
        <v>10</v>
      </c>
      <c r="M207" s="1021"/>
      <c r="N207" s="306"/>
      <c r="O207" s="306"/>
      <c r="P207" s="306"/>
      <c r="Q207" s="306"/>
      <c r="R207" s="306"/>
      <c r="S207" s="306"/>
      <c r="T207" s="306"/>
      <c r="U207" s="306"/>
      <c r="V207" s="306"/>
      <c r="W207" s="306"/>
      <c r="X207" s="306"/>
      <c r="Y207" s="306"/>
      <c r="Z207" s="1469"/>
    </row>
    <row r="208" spans="1:26">
      <c r="A208" s="661"/>
      <c r="B208" s="4" t="str">
        <f t="shared" si="19"/>
        <v>Rucola, 2 Schnitte, GH</v>
      </c>
      <c r="D208" s="694"/>
      <c r="E208" s="946" t="s">
        <v>1149</v>
      </c>
      <c r="F208" s="978" t="s">
        <v>1150</v>
      </c>
      <c r="G208" s="1666" t="s">
        <v>57</v>
      </c>
      <c r="H208" s="1019"/>
      <c r="I208" s="1020">
        <v>210</v>
      </c>
      <c r="J208" s="978">
        <v>40</v>
      </c>
      <c r="K208" s="978">
        <v>180</v>
      </c>
      <c r="L208" s="978">
        <v>20</v>
      </c>
      <c r="M208" s="1021"/>
      <c r="N208" s="306"/>
      <c r="O208" s="306"/>
      <c r="P208" s="306"/>
      <c r="Q208" s="306"/>
      <c r="R208" s="306"/>
      <c r="S208" s="306"/>
      <c r="T208" s="306"/>
      <c r="U208" s="306"/>
      <c r="V208" s="306"/>
      <c r="W208" s="306"/>
      <c r="X208" s="306"/>
      <c r="Y208" s="306"/>
      <c r="Z208" s="1469"/>
    </row>
    <row r="209" spans="1:26">
      <c r="A209" s="661"/>
      <c r="B209" s="4" t="str">
        <f t="shared" si="19"/>
        <v>Salate Kopf-, Eisberg, Lollo, GH</v>
      </c>
      <c r="D209" s="694"/>
      <c r="E209" s="946" t="s">
        <v>1151</v>
      </c>
      <c r="F209" s="978" t="s">
        <v>1152</v>
      </c>
      <c r="G209" s="1666" t="s">
        <v>57</v>
      </c>
      <c r="H209" s="1019"/>
      <c r="I209" s="1020">
        <v>80</v>
      </c>
      <c r="J209" s="978">
        <v>30</v>
      </c>
      <c r="K209" s="978">
        <v>140</v>
      </c>
      <c r="L209" s="978">
        <v>20</v>
      </c>
      <c r="M209" s="1021"/>
      <c r="N209" s="306"/>
      <c r="O209" s="306"/>
      <c r="P209" s="306"/>
      <c r="Q209" s="306"/>
      <c r="R209" s="306"/>
      <c r="S209" s="306"/>
      <c r="T209" s="306"/>
      <c r="U209" s="306"/>
      <c r="V209" s="306"/>
      <c r="W209" s="306"/>
      <c r="X209" s="306"/>
      <c r="Y209" s="306"/>
      <c r="Z209" s="1469"/>
    </row>
    <row r="210" spans="1:26">
      <c r="A210" s="661"/>
      <c r="B210" s="4" t="str">
        <f t="shared" si="19"/>
        <v>Schnittlauch (Kultur), GH</v>
      </c>
      <c r="D210" s="694"/>
      <c r="E210" s="946" t="s">
        <v>1153</v>
      </c>
      <c r="F210" s="978" t="s">
        <v>1156</v>
      </c>
      <c r="G210" s="1666" t="s">
        <v>57</v>
      </c>
      <c r="H210" s="1019"/>
      <c r="I210" s="1020">
        <v>100</v>
      </c>
      <c r="J210" s="978">
        <v>40</v>
      </c>
      <c r="K210" s="978">
        <v>180</v>
      </c>
      <c r="L210" s="978">
        <v>30</v>
      </c>
      <c r="M210" s="1021"/>
      <c r="N210" s="306"/>
      <c r="O210" s="306"/>
      <c r="P210" s="306"/>
      <c r="Q210" s="306"/>
      <c r="R210" s="306"/>
      <c r="S210" s="306"/>
      <c r="T210" s="306"/>
      <c r="U210" s="306"/>
      <c r="V210" s="306"/>
      <c r="W210" s="306"/>
      <c r="X210" s="306"/>
      <c r="Y210" s="306"/>
      <c r="Z210" s="1469"/>
    </row>
    <row r="211" spans="1:26">
      <c r="A211" s="661"/>
      <c r="B211" s="4" t="str">
        <f t="shared" si="19"/>
        <v>Schnittsalat, GH</v>
      </c>
      <c r="D211" s="694"/>
      <c r="E211" s="946" t="s">
        <v>1157</v>
      </c>
      <c r="F211" s="978" t="s">
        <v>1158</v>
      </c>
      <c r="G211" s="1666" t="s">
        <v>57</v>
      </c>
      <c r="H211" s="1019"/>
      <c r="I211" s="1020">
        <v>50</v>
      </c>
      <c r="J211" s="978">
        <v>10</v>
      </c>
      <c r="K211" s="978">
        <v>50</v>
      </c>
      <c r="L211" s="978">
        <v>10</v>
      </c>
      <c r="M211" s="1021"/>
      <c r="N211" s="306"/>
      <c r="O211" s="306"/>
      <c r="P211" s="306"/>
      <c r="Q211" s="306"/>
      <c r="R211" s="306"/>
      <c r="S211" s="306"/>
      <c r="T211" s="306"/>
      <c r="U211" s="306"/>
      <c r="V211" s="306"/>
      <c r="W211" s="306"/>
      <c r="X211" s="306"/>
      <c r="Y211" s="306"/>
      <c r="Z211" s="1469"/>
    </row>
    <row r="212" spans="1:26">
      <c r="A212" s="661"/>
      <c r="B212" s="4" t="str">
        <f t="shared" si="19"/>
        <v>Sellerie Suppen- 40 Stk/m2, GH</v>
      </c>
      <c r="D212" s="694"/>
      <c r="E212" s="946" t="s">
        <v>1159</v>
      </c>
      <c r="F212" s="978" t="s">
        <v>1160</v>
      </c>
      <c r="G212" s="1666" t="s">
        <v>57</v>
      </c>
      <c r="H212" s="1019"/>
      <c r="I212" s="1020">
        <v>120</v>
      </c>
      <c r="J212" s="978">
        <v>70</v>
      </c>
      <c r="K212" s="978">
        <v>220</v>
      </c>
      <c r="L212" s="978">
        <v>30</v>
      </c>
      <c r="M212" s="1021"/>
      <c r="N212" s="306"/>
      <c r="O212" s="306"/>
      <c r="P212" s="306"/>
      <c r="Q212" s="306"/>
      <c r="R212" s="306"/>
      <c r="S212" s="306"/>
      <c r="T212" s="306"/>
      <c r="U212" s="306"/>
      <c r="V212" s="306"/>
      <c r="W212" s="306"/>
      <c r="X212" s="306"/>
      <c r="Y212" s="306"/>
      <c r="Z212" s="1469"/>
    </row>
    <row r="213" spans="1:26">
      <c r="A213" s="661"/>
      <c r="B213" s="4" t="str">
        <f t="shared" si="19"/>
        <v>Spinat (120 kg/a), GH</v>
      </c>
      <c r="D213" s="694"/>
      <c r="E213" s="946" t="s">
        <v>1161</v>
      </c>
      <c r="F213" s="978" t="s">
        <v>2110</v>
      </c>
      <c r="G213" s="1666" t="s">
        <v>57</v>
      </c>
      <c r="H213" s="1019"/>
      <c r="I213" s="1020">
        <v>100</v>
      </c>
      <c r="J213" s="978">
        <v>30</v>
      </c>
      <c r="K213" s="978">
        <v>140</v>
      </c>
      <c r="L213" s="978">
        <v>20</v>
      </c>
      <c r="M213" s="1021"/>
      <c r="N213" s="306"/>
      <c r="O213" s="306"/>
      <c r="P213" s="306"/>
      <c r="Q213" s="306"/>
      <c r="R213" s="306"/>
      <c r="S213" s="306"/>
      <c r="T213" s="306"/>
      <c r="U213" s="306"/>
      <c r="V213" s="306"/>
      <c r="W213" s="306"/>
      <c r="X213" s="306"/>
      <c r="Y213" s="306"/>
      <c r="Z213" s="1469"/>
    </row>
    <row r="214" spans="1:26">
      <c r="A214" s="661"/>
      <c r="B214" s="4" t="str">
        <f t="shared" si="19"/>
        <v>Tomaten, 1200 kg/Are, GH Bodenkultur</v>
      </c>
      <c r="D214" s="694"/>
      <c r="E214" s="946" t="s">
        <v>1163</v>
      </c>
      <c r="F214" s="978" t="s">
        <v>1164</v>
      </c>
      <c r="G214" s="1666" t="s">
        <v>57</v>
      </c>
      <c r="H214" s="1019"/>
      <c r="I214" s="1020">
        <v>170</v>
      </c>
      <c r="J214" s="978">
        <v>80</v>
      </c>
      <c r="K214" s="978">
        <v>340</v>
      </c>
      <c r="L214" s="978">
        <v>60</v>
      </c>
      <c r="M214" s="1021"/>
      <c r="N214" s="306"/>
      <c r="O214" s="306"/>
      <c r="P214" s="306"/>
      <c r="Q214" s="306"/>
      <c r="R214" s="306"/>
      <c r="S214" s="306"/>
      <c r="T214" s="306"/>
      <c r="U214" s="306"/>
      <c r="V214" s="306"/>
      <c r="W214" s="306"/>
      <c r="X214" s="306"/>
      <c r="Y214" s="306"/>
      <c r="Z214" s="1469"/>
    </row>
    <row r="215" spans="1:26">
      <c r="A215" s="661"/>
      <c r="B215" s="4" t="str">
        <f t="shared" si="19"/>
        <v>Tomaten, 1800 kg/Are, GH Bodenkultur</v>
      </c>
      <c r="D215" s="694"/>
      <c r="E215" s="946" t="s">
        <v>1165</v>
      </c>
      <c r="F215" s="978" t="s">
        <v>1166</v>
      </c>
      <c r="G215" s="1666" t="s">
        <v>57</v>
      </c>
      <c r="H215" s="1019"/>
      <c r="I215" s="1020">
        <v>250</v>
      </c>
      <c r="J215" s="978">
        <v>100</v>
      </c>
      <c r="K215" s="978">
        <v>500</v>
      </c>
      <c r="L215" s="978">
        <v>80</v>
      </c>
      <c r="M215" s="1021"/>
      <c r="N215" s="306"/>
      <c r="O215" s="306"/>
      <c r="P215" s="306"/>
      <c r="Q215" s="306"/>
      <c r="R215" s="306"/>
      <c r="S215" s="306"/>
      <c r="T215" s="306"/>
      <c r="U215" s="306"/>
      <c r="V215" s="306"/>
      <c r="W215" s="306"/>
      <c r="X215" s="306"/>
      <c r="Y215" s="306"/>
      <c r="Z215" s="1469"/>
    </row>
    <row r="216" spans="1:26">
      <c r="A216" s="661"/>
      <c r="B216" s="4" t="str">
        <f t="shared" si="19"/>
        <v>Tomaten, 2400 kg/Are, GH Bodenkultur</v>
      </c>
      <c r="D216" s="694"/>
      <c r="E216" s="946" t="s">
        <v>1167</v>
      </c>
      <c r="F216" s="978" t="s">
        <v>1168</v>
      </c>
      <c r="G216" s="1666" t="s">
        <v>57</v>
      </c>
      <c r="H216" s="1019"/>
      <c r="I216" s="1020">
        <v>330</v>
      </c>
      <c r="J216" s="978">
        <v>160</v>
      </c>
      <c r="K216" s="978">
        <v>680</v>
      </c>
      <c r="L216" s="978">
        <v>120</v>
      </c>
      <c r="M216" s="1021"/>
      <c r="N216" s="306"/>
      <c r="O216" s="306"/>
      <c r="P216" s="306"/>
      <c r="Q216" s="306"/>
      <c r="R216" s="306"/>
      <c r="S216" s="306"/>
      <c r="T216" s="306"/>
      <c r="U216" s="306"/>
      <c r="V216" s="306"/>
      <c r="W216" s="306"/>
      <c r="X216" s="306"/>
      <c r="Y216" s="306"/>
      <c r="Z216" s="1469"/>
    </row>
    <row r="217" spans="1:26">
      <c r="A217" s="661"/>
      <c r="B217" s="4" t="str">
        <f t="shared" si="19"/>
        <v>Tomaten, 3000 kg/Are, GH Bodenkultur</v>
      </c>
      <c r="D217" s="694"/>
      <c r="E217" s="946" t="s">
        <v>1169</v>
      </c>
      <c r="F217" s="978" t="s">
        <v>1170</v>
      </c>
      <c r="G217" s="1666" t="s">
        <v>57</v>
      </c>
      <c r="H217" s="1019"/>
      <c r="I217" s="1020">
        <v>400</v>
      </c>
      <c r="J217" s="978">
        <v>200</v>
      </c>
      <c r="K217" s="978">
        <v>850</v>
      </c>
      <c r="L217" s="978">
        <v>150</v>
      </c>
      <c r="M217" s="1021"/>
      <c r="N217" s="306"/>
      <c r="O217" s="306"/>
      <c r="P217" s="306"/>
      <c r="Q217" s="306"/>
      <c r="R217" s="306"/>
      <c r="S217" s="306"/>
      <c r="T217" s="306"/>
      <c r="U217" s="306"/>
      <c r="V217" s="306"/>
      <c r="W217" s="306"/>
      <c r="X217" s="306"/>
      <c r="Y217" s="306"/>
      <c r="Z217" s="1469"/>
    </row>
    <row r="218" spans="1:26">
      <c r="A218" s="661"/>
      <c r="B218" s="4" t="str">
        <f t="shared" si="19"/>
        <v>Zucchetti (600 kg/a), GH</v>
      </c>
      <c r="D218" s="694"/>
      <c r="E218" s="946" t="s">
        <v>2044</v>
      </c>
      <c r="F218" s="978" t="s">
        <v>2109</v>
      </c>
      <c r="G218" s="1666" t="s">
        <v>57</v>
      </c>
      <c r="H218" s="1019"/>
      <c r="I218" s="1020">
        <v>190</v>
      </c>
      <c r="J218" s="978">
        <v>35</v>
      </c>
      <c r="K218" s="978">
        <v>150</v>
      </c>
      <c r="L218" s="978">
        <v>15</v>
      </c>
      <c r="M218" s="1021"/>
      <c r="N218" s="306"/>
      <c r="O218" s="306"/>
      <c r="P218" s="306"/>
      <c r="Q218" s="306"/>
      <c r="R218" s="306"/>
      <c r="S218" s="306"/>
      <c r="T218" s="306"/>
      <c r="U218" s="306"/>
      <c r="V218" s="306"/>
      <c r="W218" s="306"/>
      <c r="X218" s="306"/>
      <c r="Y218" s="306"/>
      <c r="Z218" s="1469"/>
    </row>
    <row r="219" spans="1:26">
      <c r="A219" s="661"/>
      <c r="B219" s="4" t="str">
        <f t="shared" si="19"/>
        <v>Patisson, Kürbis (600 kg/a), GH</v>
      </c>
      <c r="D219" s="694"/>
      <c r="E219" s="949" t="s">
        <v>2065</v>
      </c>
      <c r="F219" s="979" t="s">
        <v>2111</v>
      </c>
      <c r="G219" s="1668" t="s">
        <v>57</v>
      </c>
      <c r="H219" s="1030"/>
      <c r="I219" s="1031">
        <v>160</v>
      </c>
      <c r="J219" s="979">
        <v>60</v>
      </c>
      <c r="K219" s="979">
        <v>220</v>
      </c>
      <c r="L219" s="979">
        <v>30</v>
      </c>
      <c r="M219" s="1032"/>
      <c r="N219" s="306"/>
      <c r="O219" s="306"/>
      <c r="P219" s="306"/>
      <c r="Q219" s="306"/>
      <c r="R219" s="306"/>
      <c r="S219" s="306"/>
      <c r="T219" s="306"/>
      <c r="U219" s="306"/>
      <c r="V219" s="306"/>
      <c r="W219" s="306"/>
      <c r="X219" s="306"/>
      <c r="Y219" s="306"/>
      <c r="Z219" s="1469"/>
    </row>
    <row r="220" spans="1:26">
      <c r="A220" s="661"/>
      <c r="B220" s="4" t="str">
        <f t="shared" si="19"/>
        <v xml:space="preserve">Mittelwert Gewächshaus, GH, für kleine Gewächshäuser und Hochtunnel mit verschiedenen Gemüsen </v>
      </c>
      <c r="D220" s="694"/>
      <c r="E220" s="945" t="s">
        <v>1171</v>
      </c>
      <c r="F220" s="976" t="s">
        <v>938</v>
      </c>
      <c r="G220" s="1665" t="s">
        <v>57</v>
      </c>
      <c r="H220" s="1025"/>
      <c r="I220" s="1007">
        <v>130</v>
      </c>
      <c r="J220" s="974">
        <v>60</v>
      </c>
      <c r="K220" s="974">
        <v>220</v>
      </c>
      <c r="L220" s="974">
        <v>35</v>
      </c>
      <c r="M220" s="1026"/>
      <c r="N220" s="306"/>
      <c r="O220" s="306"/>
      <c r="P220" s="306"/>
      <c r="Q220" s="306"/>
      <c r="R220" s="306"/>
      <c r="S220" s="306"/>
      <c r="T220" s="306"/>
      <c r="U220" s="306"/>
      <c r="V220" s="306"/>
      <c r="W220" s="306"/>
      <c r="X220" s="306"/>
      <c r="Y220" s="306"/>
      <c r="Z220" s="1469"/>
    </row>
    <row r="221" spans="1:26" ht="13.5" thickBot="1">
      <c r="B221" s="4" t="s">
        <v>54</v>
      </c>
      <c r="D221" s="694"/>
      <c r="E221" s="3052" t="s">
        <v>1172</v>
      </c>
      <c r="F221" s="3053"/>
      <c r="G221" s="3053"/>
      <c r="H221" s="3053"/>
      <c r="I221" s="3053"/>
      <c r="J221" s="3053"/>
      <c r="K221" s="3053"/>
      <c r="L221" s="3053"/>
      <c r="M221" s="3054"/>
      <c r="N221" s="306"/>
      <c r="O221" s="306"/>
      <c r="P221" s="306"/>
      <c r="Q221" s="306"/>
      <c r="R221" s="306"/>
      <c r="S221" s="306"/>
      <c r="T221" s="306"/>
      <c r="U221" s="306"/>
      <c r="V221" s="306"/>
      <c r="W221" s="306"/>
      <c r="X221" s="306"/>
      <c r="Y221" s="306"/>
      <c r="Z221" s="1469"/>
    </row>
    <row r="222" spans="1:26">
      <c r="B222" s="4" t="str">
        <f t="shared" si="19"/>
        <v>-</v>
      </c>
      <c r="D222" s="694"/>
      <c r="E222" s="941">
        <v>0</v>
      </c>
      <c r="F222" s="7" t="s">
        <v>670</v>
      </c>
      <c r="G222" s="7"/>
      <c r="H222" s="7"/>
      <c r="I222" s="7"/>
      <c r="J222" s="7"/>
      <c r="K222" s="7"/>
      <c r="L222" s="7"/>
      <c r="M222" s="1027"/>
      <c r="N222" s="306"/>
      <c r="O222" s="306"/>
      <c r="P222" s="306"/>
      <c r="Q222" s="306"/>
      <c r="R222" s="306"/>
      <c r="S222" s="306"/>
      <c r="T222" s="306"/>
      <c r="U222" s="306"/>
      <c r="V222" s="306"/>
      <c r="W222" s="306"/>
      <c r="X222" s="306"/>
      <c r="Y222" s="306"/>
      <c r="Z222" s="1469"/>
    </row>
    <row r="223" spans="1:26">
      <c r="B223" s="4" t="str">
        <f t="shared" si="19"/>
        <v>Stroh (85% TS)</v>
      </c>
      <c r="D223" s="694"/>
      <c r="E223" s="942" t="s">
        <v>674</v>
      </c>
      <c r="F223" s="971" t="s">
        <v>1173</v>
      </c>
      <c r="G223" s="1662" t="s">
        <v>169</v>
      </c>
      <c r="H223" s="1017"/>
      <c r="I223" s="998">
        <v>0</v>
      </c>
      <c r="J223" s="999">
        <v>0.19</v>
      </c>
      <c r="K223" s="999">
        <v>0.79</v>
      </c>
      <c r="L223" s="999">
        <v>0.11</v>
      </c>
      <c r="M223" s="1018"/>
      <c r="N223" s="306"/>
      <c r="O223" s="306"/>
      <c r="P223" s="306"/>
      <c r="Q223" s="306"/>
      <c r="R223" s="306"/>
      <c r="S223" s="306"/>
      <c r="T223" s="306"/>
      <c r="U223" s="306"/>
      <c r="V223" s="306"/>
      <c r="W223" s="306"/>
      <c r="X223" s="306"/>
      <c r="Y223" s="306"/>
      <c r="Z223" s="1469"/>
    </row>
    <row r="224" spans="1:26" ht="13.5" thickBot="1">
      <c r="B224" s="4" t="str">
        <f t="shared" si="19"/>
        <v>Rübenblatt (15%TS)</v>
      </c>
      <c r="D224" s="694"/>
      <c r="E224" s="943" t="s">
        <v>677</v>
      </c>
      <c r="F224" s="972" t="s">
        <v>1174</v>
      </c>
      <c r="G224" s="1663" t="s">
        <v>169</v>
      </c>
      <c r="H224" s="1003"/>
      <c r="I224" s="1000">
        <v>0</v>
      </c>
      <c r="J224" s="1001">
        <v>0.08</v>
      </c>
      <c r="K224" s="1001">
        <v>0.4</v>
      </c>
      <c r="L224" s="1001">
        <v>0.09</v>
      </c>
      <c r="M224" s="1022"/>
      <c r="N224" s="306"/>
      <c r="O224" s="306"/>
      <c r="P224" s="306"/>
      <c r="Q224" s="306"/>
      <c r="R224" s="306"/>
      <c r="S224" s="306"/>
      <c r="T224" s="306"/>
      <c r="U224" s="306"/>
      <c r="V224" s="306"/>
      <c r="W224" s="306"/>
      <c r="X224" s="306"/>
      <c r="Y224" s="306"/>
      <c r="Z224" s="1469"/>
    </row>
    <row r="225" spans="1:26" ht="13.5" thickBot="1">
      <c r="B225" s="4" t="s">
        <v>54</v>
      </c>
      <c r="D225" s="694"/>
      <c r="E225" s="3055" t="s">
        <v>1071</v>
      </c>
      <c r="F225" s="3056"/>
      <c r="G225" s="3056"/>
      <c r="H225" s="3056"/>
      <c r="I225" s="3056"/>
      <c r="J225" s="3056"/>
      <c r="K225" s="3056"/>
      <c r="L225" s="3056"/>
      <c r="M225" s="3057"/>
      <c r="N225" s="306"/>
      <c r="O225" s="306"/>
      <c r="P225" s="306"/>
      <c r="Q225" s="306"/>
      <c r="R225" s="306"/>
      <c r="S225" s="306"/>
      <c r="T225" s="306"/>
      <c r="U225" s="306"/>
      <c r="V225" s="306"/>
      <c r="W225" s="306"/>
      <c r="X225" s="306"/>
      <c r="Y225" s="306"/>
      <c r="Z225" s="1469" t="s">
        <v>1424</v>
      </c>
    </row>
    <row r="226" spans="1:26" ht="14.25">
      <c r="B226" s="4" t="s">
        <v>54</v>
      </c>
      <c r="D226" s="694"/>
      <c r="E226" s="1676" t="s">
        <v>1175</v>
      </c>
      <c r="F226" s="1677"/>
      <c r="G226" s="1660" t="s">
        <v>52</v>
      </c>
      <c r="H226" s="993" t="s">
        <v>223</v>
      </c>
      <c r="I226" s="994" t="s">
        <v>61</v>
      </c>
      <c r="J226" s="993" t="s">
        <v>924</v>
      </c>
      <c r="K226" s="993" t="s">
        <v>925</v>
      </c>
      <c r="L226" s="993" t="s">
        <v>64</v>
      </c>
      <c r="M226" s="1678"/>
      <c r="N226" s="306"/>
      <c r="O226" s="306"/>
      <c r="P226" s="306"/>
      <c r="Q226" s="306"/>
      <c r="R226" s="306"/>
      <c r="S226" s="306"/>
      <c r="T226" s="306"/>
      <c r="U226" s="306"/>
      <c r="V226" s="306"/>
      <c r="W226" s="306"/>
      <c r="X226" s="306"/>
      <c r="Y226" s="306"/>
      <c r="Z226" s="1469"/>
    </row>
    <row r="227" spans="1:26">
      <c r="A227" s="662" t="s">
        <v>806</v>
      </c>
      <c r="B227" s="4" t="str">
        <f t="shared" si="19"/>
        <v xml:space="preserve"> -</v>
      </c>
      <c r="D227" s="694"/>
      <c r="E227" s="947">
        <v>0</v>
      </c>
      <c r="F227" s="166" t="s">
        <v>945</v>
      </c>
      <c r="G227" s="1028"/>
      <c r="H227" s="1028"/>
      <c r="I227" s="166"/>
      <c r="J227" s="166"/>
      <c r="K227" s="166"/>
      <c r="L227" s="166"/>
      <c r="M227" s="1029"/>
      <c r="N227" s="306"/>
      <c r="O227" s="306"/>
      <c r="P227" s="306"/>
      <c r="Q227" s="306"/>
      <c r="R227" s="306"/>
      <c r="S227" s="306"/>
      <c r="T227" s="306"/>
      <c r="U227" s="306"/>
      <c r="V227" s="306"/>
      <c r="W227" s="306"/>
      <c r="X227" s="306"/>
      <c r="Y227" s="306"/>
      <c r="Z227" s="1469"/>
    </row>
    <row r="228" spans="1:26">
      <c r="A228" s="662"/>
      <c r="B228" s="4" t="str">
        <f t="shared" si="19"/>
        <v>Obstanlagen, Kern-</v>
      </c>
      <c r="D228" s="694"/>
      <c r="E228" s="946" t="s">
        <v>1176</v>
      </c>
      <c r="F228" s="978" t="s">
        <v>1460</v>
      </c>
      <c r="G228" s="1666" t="s">
        <v>57</v>
      </c>
      <c r="H228" s="1019"/>
      <c r="I228" s="1020">
        <v>60</v>
      </c>
      <c r="J228" s="978">
        <v>20</v>
      </c>
      <c r="K228" s="978">
        <v>75</v>
      </c>
      <c r="L228" s="978">
        <v>20</v>
      </c>
      <c r="M228" s="1021"/>
      <c r="N228" s="306"/>
      <c r="O228" s="306"/>
      <c r="P228" s="306"/>
      <c r="Q228" s="306"/>
      <c r="R228" s="306"/>
      <c r="S228" s="306"/>
      <c r="T228" s="306"/>
      <c r="U228" s="306"/>
      <c r="V228" s="306"/>
      <c r="W228" s="306"/>
      <c r="X228" s="306"/>
      <c r="Y228" s="306"/>
      <c r="Z228" s="1469"/>
    </row>
    <row r="229" spans="1:26">
      <c r="A229" s="662"/>
      <c r="B229" s="4" t="str">
        <f t="shared" si="19"/>
        <v>Kernobst (60 t/ha), hoher Ertrag</v>
      </c>
      <c r="D229" s="694"/>
      <c r="E229" s="946" t="s">
        <v>10</v>
      </c>
      <c r="F229" s="978" t="s">
        <v>14</v>
      </c>
      <c r="G229" s="1666" t="s">
        <v>57</v>
      </c>
      <c r="H229" s="1019"/>
      <c r="I229" s="1020">
        <v>80</v>
      </c>
      <c r="J229" s="978">
        <v>30</v>
      </c>
      <c r="K229" s="978">
        <v>110</v>
      </c>
      <c r="L229" s="978">
        <v>40</v>
      </c>
      <c r="M229" s="1021"/>
      <c r="N229" s="306"/>
      <c r="O229" s="306"/>
      <c r="P229" s="306"/>
      <c r="Q229" s="306"/>
      <c r="R229" s="306"/>
      <c r="S229" s="306"/>
      <c r="T229" s="306"/>
      <c r="U229" s="306"/>
      <c r="V229" s="306"/>
      <c r="W229" s="306"/>
      <c r="X229" s="306"/>
      <c r="Y229" s="306"/>
      <c r="Z229" s="1469"/>
    </row>
    <row r="230" spans="1:26">
      <c r="A230" s="662"/>
      <c r="B230" s="4" t="str">
        <f t="shared" si="19"/>
        <v>Kirschen</v>
      </c>
      <c r="D230" s="694"/>
      <c r="E230" s="946" t="s">
        <v>1177</v>
      </c>
      <c r="F230" s="978" t="s">
        <v>1178</v>
      </c>
      <c r="G230" s="1666" t="s">
        <v>57</v>
      </c>
      <c r="H230" s="1019"/>
      <c r="I230" s="1020">
        <v>60</v>
      </c>
      <c r="J230" s="978">
        <v>20</v>
      </c>
      <c r="K230" s="978">
        <v>50</v>
      </c>
      <c r="L230" s="978">
        <v>20</v>
      </c>
      <c r="M230" s="1021"/>
      <c r="N230" s="306"/>
      <c r="O230" s="306"/>
      <c r="P230" s="306"/>
      <c r="Q230" s="306"/>
      <c r="R230" s="306"/>
      <c r="S230" s="306"/>
      <c r="T230" s="306"/>
      <c r="U230" s="306"/>
      <c r="V230" s="306"/>
      <c r="W230" s="306"/>
      <c r="X230" s="306"/>
      <c r="Y230" s="306"/>
      <c r="Z230" s="1469"/>
    </row>
    <row r="231" spans="1:26">
      <c r="A231" s="662"/>
      <c r="B231" s="4" t="str">
        <f t="shared" si="19"/>
        <v>Kirschen (20 t/ha), hoher Ertrag</v>
      </c>
      <c r="D231" s="694"/>
      <c r="E231" s="946" t="s">
        <v>9</v>
      </c>
      <c r="F231" s="978" t="s">
        <v>2066</v>
      </c>
      <c r="G231" s="1666" t="s">
        <v>57</v>
      </c>
      <c r="H231" s="1019"/>
      <c r="I231" s="1020">
        <v>100</v>
      </c>
      <c r="J231" s="978">
        <v>40</v>
      </c>
      <c r="K231" s="978">
        <v>85</v>
      </c>
      <c r="L231" s="978">
        <v>40</v>
      </c>
      <c r="M231" s="1021"/>
      <c r="N231" s="306"/>
      <c r="O231" s="306"/>
      <c r="P231" s="306"/>
      <c r="Q231" s="306"/>
      <c r="R231" s="306"/>
      <c r="S231" s="306"/>
      <c r="T231" s="306"/>
      <c r="U231" s="306"/>
      <c r="V231" s="306"/>
      <c r="W231" s="306"/>
      <c r="X231" s="306"/>
      <c r="Y231" s="306"/>
      <c r="Z231" s="1469"/>
    </row>
    <row r="232" spans="1:26">
      <c r="A232" s="662"/>
      <c r="B232" s="4" t="str">
        <f t="shared" si="19"/>
        <v>Zwetschgen</v>
      </c>
      <c r="D232" s="694"/>
      <c r="E232" s="946" t="s">
        <v>1179</v>
      </c>
      <c r="F232" s="978" t="s">
        <v>1180</v>
      </c>
      <c r="G232" s="1666" t="s">
        <v>57</v>
      </c>
      <c r="H232" s="1019"/>
      <c r="I232" s="1020">
        <v>60</v>
      </c>
      <c r="J232" s="978">
        <v>15</v>
      </c>
      <c r="K232" s="978">
        <v>50</v>
      </c>
      <c r="L232" s="978">
        <v>15</v>
      </c>
      <c r="M232" s="1021"/>
      <c r="N232" s="306"/>
      <c r="O232" s="306"/>
      <c r="P232" s="306"/>
      <c r="Q232" s="306"/>
      <c r="R232" s="306"/>
      <c r="S232" s="306"/>
      <c r="T232" s="306"/>
      <c r="U232" s="306"/>
      <c r="V232" s="306"/>
      <c r="W232" s="306"/>
      <c r="X232" s="306"/>
      <c r="Y232" s="306"/>
      <c r="Z232" s="1469"/>
    </row>
    <row r="233" spans="1:26">
      <c r="A233" s="662"/>
      <c r="B233" s="4" t="str">
        <f t="shared" si="19"/>
        <v>Zwetschgen (20 t/ha), hoher Ertrag</v>
      </c>
      <c r="D233" s="694"/>
      <c r="E233" s="946" t="s">
        <v>11</v>
      </c>
      <c r="F233" s="978" t="s">
        <v>16</v>
      </c>
      <c r="G233" s="1666" t="s">
        <v>57</v>
      </c>
      <c r="H233" s="1019"/>
      <c r="I233" s="1020">
        <v>80</v>
      </c>
      <c r="J233" s="978">
        <v>20</v>
      </c>
      <c r="K233" s="978">
        <v>65</v>
      </c>
      <c r="L233" s="978">
        <v>20</v>
      </c>
      <c r="M233" s="1021"/>
      <c r="N233" s="306"/>
      <c r="O233" s="306"/>
      <c r="P233" s="306"/>
      <c r="Q233" s="306"/>
      <c r="R233" s="306"/>
      <c r="S233" s="306"/>
      <c r="T233" s="306"/>
      <c r="U233" s="306"/>
      <c r="V233" s="306"/>
      <c r="W233" s="306"/>
      <c r="X233" s="306"/>
      <c r="Y233" s="306"/>
      <c r="Z233" s="1469"/>
    </row>
    <row r="234" spans="1:26">
      <c r="A234" s="662"/>
      <c r="B234" s="4" t="str">
        <f t="shared" si="19"/>
        <v>Aprikosen</v>
      </c>
      <c r="D234" s="694"/>
      <c r="E234" s="946" t="s">
        <v>1181</v>
      </c>
      <c r="F234" s="978" t="s">
        <v>1182</v>
      </c>
      <c r="G234" s="1666" t="s">
        <v>57</v>
      </c>
      <c r="H234" s="1019"/>
      <c r="I234" s="1020">
        <v>60</v>
      </c>
      <c r="J234" s="978">
        <v>25</v>
      </c>
      <c r="K234" s="978">
        <v>75</v>
      </c>
      <c r="L234" s="978">
        <v>20</v>
      </c>
      <c r="M234" s="1021"/>
      <c r="N234" s="306"/>
      <c r="O234" s="306"/>
      <c r="P234" s="306"/>
      <c r="Q234" s="306"/>
      <c r="R234" s="306"/>
      <c r="S234" s="306"/>
      <c r="T234" s="306"/>
      <c r="U234" s="306"/>
      <c r="V234" s="306"/>
      <c r="W234" s="306"/>
      <c r="X234" s="306"/>
      <c r="Y234" s="306"/>
      <c r="Z234" s="1469"/>
    </row>
    <row r="235" spans="1:26">
      <c r="A235" s="662"/>
      <c r="B235" s="4" t="str">
        <f t="shared" si="19"/>
        <v>Aprikosen (25 t/ha), hoher Ertrag</v>
      </c>
      <c r="D235" s="694"/>
      <c r="E235" s="948" t="s">
        <v>18</v>
      </c>
      <c r="F235" s="978" t="s">
        <v>17</v>
      </c>
      <c r="G235" s="1666" t="s">
        <v>57</v>
      </c>
      <c r="H235" s="1019"/>
      <c r="I235" s="1020">
        <v>75</v>
      </c>
      <c r="J235" s="978">
        <v>30</v>
      </c>
      <c r="K235" s="978">
        <v>90</v>
      </c>
      <c r="L235" s="978">
        <v>30</v>
      </c>
      <c r="M235" s="1021"/>
      <c r="N235" s="306"/>
      <c r="O235" s="306"/>
      <c r="P235" s="306"/>
      <c r="Q235" s="306"/>
      <c r="R235" s="306"/>
      <c r="S235" s="306"/>
      <c r="T235" s="306"/>
      <c r="U235" s="306"/>
      <c r="V235" s="306"/>
      <c r="W235" s="306"/>
      <c r="X235" s="306"/>
      <c r="Y235" s="306"/>
      <c r="Z235" s="1469"/>
    </row>
    <row r="236" spans="1:26">
      <c r="A236" s="662"/>
      <c r="B236" s="4" t="str">
        <f t="shared" si="19"/>
        <v>Pfirsiche</v>
      </c>
      <c r="D236" s="694"/>
      <c r="E236" s="946" t="s">
        <v>1183</v>
      </c>
      <c r="F236" s="978" t="s">
        <v>19</v>
      </c>
      <c r="G236" s="1666" t="s">
        <v>57</v>
      </c>
      <c r="H236" s="1019"/>
      <c r="I236" s="1020">
        <v>60</v>
      </c>
      <c r="J236" s="978">
        <v>15</v>
      </c>
      <c r="K236" s="978">
        <v>55</v>
      </c>
      <c r="L236" s="978">
        <v>20</v>
      </c>
      <c r="M236" s="1021"/>
      <c r="N236" s="306"/>
      <c r="O236" s="306"/>
      <c r="P236" s="306"/>
      <c r="Q236" s="306"/>
      <c r="R236" s="306"/>
      <c r="S236" s="306"/>
      <c r="T236" s="306"/>
      <c r="U236" s="306"/>
      <c r="V236" s="306"/>
      <c r="W236" s="306"/>
      <c r="X236" s="306"/>
      <c r="Y236" s="306"/>
      <c r="Z236" s="1469"/>
    </row>
    <row r="237" spans="1:26">
      <c r="A237" s="662"/>
      <c r="B237" s="4" t="str">
        <f t="shared" si="19"/>
        <v>Pfirsiche (25 t/ha), hoher Ertrag</v>
      </c>
      <c r="D237" s="694"/>
      <c r="E237" s="946" t="s">
        <v>12</v>
      </c>
      <c r="F237" s="978" t="s">
        <v>20</v>
      </c>
      <c r="G237" s="1666" t="s">
        <v>57</v>
      </c>
      <c r="H237" s="1019"/>
      <c r="I237" s="1020">
        <v>75</v>
      </c>
      <c r="J237" s="978">
        <v>20</v>
      </c>
      <c r="K237" s="978">
        <v>70</v>
      </c>
      <c r="L237" s="978">
        <v>30</v>
      </c>
      <c r="M237" s="1021"/>
      <c r="N237" s="306"/>
      <c r="O237" s="306"/>
      <c r="P237" s="306"/>
      <c r="Q237" s="306"/>
      <c r="R237" s="306"/>
      <c r="S237" s="306"/>
      <c r="T237" s="306"/>
      <c r="U237" s="306"/>
      <c r="V237" s="306"/>
      <c r="W237" s="306"/>
      <c r="X237" s="306"/>
      <c r="Y237" s="306"/>
      <c r="Z237" s="1469"/>
    </row>
    <row r="238" spans="1:26">
      <c r="A238" s="662"/>
      <c r="B238" s="4" t="str">
        <f t="shared" si="19"/>
        <v>Kiwi</v>
      </c>
      <c r="D238" s="694"/>
      <c r="E238" s="946" t="s">
        <v>1184</v>
      </c>
      <c r="F238" s="978" t="s">
        <v>1185</v>
      </c>
      <c r="G238" s="1666" t="s">
        <v>57</v>
      </c>
      <c r="H238" s="1019"/>
      <c r="I238" s="1020">
        <v>50</v>
      </c>
      <c r="J238" s="978">
        <v>15</v>
      </c>
      <c r="K238" s="978">
        <v>75</v>
      </c>
      <c r="L238" s="978">
        <v>15</v>
      </c>
      <c r="M238" s="1021"/>
      <c r="N238" s="306"/>
      <c r="O238" s="306"/>
      <c r="P238" s="306"/>
      <c r="Q238" s="306"/>
      <c r="R238" s="306"/>
      <c r="S238" s="306"/>
      <c r="T238" s="306"/>
      <c r="U238" s="306"/>
      <c r="V238" s="306"/>
      <c r="W238" s="306"/>
      <c r="X238" s="306"/>
      <c r="Y238" s="306"/>
      <c r="Z238" s="1469"/>
    </row>
    <row r="239" spans="1:26">
      <c r="A239" s="662"/>
      <c r="B239" s="4" t="str">
        <f t="shared" si="19"/>
        <v>Kiwi (25 t/ha), hoher Ertrag</v>
      </c>
      <c r="D239" s="694"/>
      <c r="E239" s="946" t="s">
        <v>13</v>
      </c>
      <c r="F239" s="978" t="s">
        <v>21</v>
      </c>
      <c r="G239" s="1666" t="s">
        <v>57</v>
      </c>
      <c r="H239" s="1019"/>
      <c r="I239" s="1020">
        <v>65</v>
      </c>
      <c r="J239" s="978">
        <v>20</v>
      </c>
      <c r="K239" s="978">
        <v>90</v>
      </c>
      <c r="L239" s="978">
        <v>20</v>
      </c>
      <c r="M239" s="1021"/>
      <c r="N239" s="306"/>
      <c r="O239" s="306"/>
      <c r="P239" s="306"/>
      <c r="Q239" s="306"/>
      <c r="R239" s="306"/>
      <c r="S239" s="306"/>
      <c r="T239" s="306"/>
      <c r="U239" s="306"/>
      <c r="V239" s="306"/>
      <c r="W239" s="306"/>
      <c r="X239" s="306"/>
      <c r="Y239" s="306"/>
      <c r="Z239" s="1469"/>
    </row>
    <row r="240" spans="1:26">
      <c r="A240" s="662"/>
      <c r="B240" s="4" t="str">
        <f t="shared" si="19"/>
        <v>Kleinanlagen (&lt;20 a) mit verschiedenen Obstkulturen</v>
      </c>
      <c r="D240" s="694"/>
      <c r="E240" s="946" t="s">
        <v>1263</v>
      </c>
      <c r="F240" s="978" t="s">
        <v>753</v>
      </c>
      <c r="G240" s="1666" t="s">
        <v>57</v>
      </c>
      <c r="H240" s="1019"/>
      <c r="I240" s="1020">
        <v>60</v>
      </c>
      <c r="J240" s="978">
        <v>20</v>
      </c>
      <c r="K240" s="978">
        <v>75</v>
      </c>
      <c r="L240" s="978">
        <v>20</v>
      </c>
      <c r="M240" s="1021"/>
      <c r="N240" s="306"/>
      <c r="O240" s="306"/>
      <c r="P240" s="306"/>
      <c r="Q240" s="306"/>
      <c r="R240" s="306"/>
      <c r="S240" s="306"/>
      <c r="T240" s="306"/>
      <c r="U240" s="306"/>
      <c r="V240" s="306"/>
      <c r="W240" s="306"/>
      <c r="X240" s="306"/>
      <c r="Y240" s="306"/>
      <c r="Z240" s="1469"/>
    </row>
    <row r="241" spans="1:26">
      <c r="A241" s="662"/>
      <c r="B241" s="4" t="str">
        <f t="shared" si="19"/>
        <v>Walnussbäume (&lt;185 Bä/ha)</v>
      </c>
      <c r="D241" s="694"/>
      <c r="E241" s="947" t="s">
        <v>1795</v>
      </c>
      <c r="F241" s="973" t="s">
        <v>1882</v>
      </c>
      <c r="G241" s="3065" t="s">
        <v>57</v>
      </c>
      <c r="H241" s="2658"/>
      <c r="I241" s="1020">
        <v>80</v>
      </c>
      <c r="J241" s="978">
        <v>30</v>
      </c>
      <c r="K241" s="978">
        <v>100</v>
      </c>
      <c r="L241" s="978">
        <v>30</v>
      </c>
      <c r="M241" s="1021"/>
      <c r="N241" s="306"/>
      <c r="O241" s="306"/>
      <c r="P241" s="306"/>
      <c r="Q241" s="306"/>
      <c r="R241" s="306"/>
      <c r="S241" s="306"/>
      <c r="T241" s="306"/>
      <c r="U241" s="306"/>
      <c r="V241" s="306"/>
      <c r="W241" s="306"/>
      <c r="X241" s="306"/>
      <c r="Y241" s="306"/>
      <c r="Z241" s="1469"/>
    </row>
    <row r="242" spans="1:26">
      <c r="A242" s="662"/>
      <c r="B242" s="4" t="str">
        <f t="shared" si="19"/>
        <v>Walnussbäume ≥ 185 Bäume/ha</v>
      </c>
      <c r="D242" s="694"/>
      <c r="E242" s="947" t="s">
        <v>1796</v>
      </c>
      <c r="F242" s="3063" t="s">
        <v>1847</v>
      </c>
      <c r="G242" s="3066" t="s">
        <v>57</v>
      </c>
      <c r="H242" s="2658"/>
      <c r="I242" s="1020">
        <v>120</v>
      </c>
      <c r="J242" s="978">
        <v>50</v>
      </c>
      <c r="K242" s="978">
        <v>140</v>
      </c>
      <c r="L242" s="978">
        <v>50</v>
      </c>
      <c r="M242" s="1021"/>
      <c r="N242" s="306"/>
      <c r="O242" s="306"/>
      <c r="P242" s="306"/>
      <c r="Q242" s="306"/>
      <c r="R242" s="306"/>
      <c r="S242" s="306"/>
      <c r="T242" s="306"/>
      <c r="U242" s="306"/>
      <c r="V242" s="306"/>
      <c r="W242" s="306"/>
      <c r="X242" s="306"/>
      <c r="Y242" s="306"/>
      <c r="Z242" s="1469"/>
    </row>
    <row r="243" spans="1:26">
      <c r="A243" s="662"/>
      <c r="B243" s="4" t="str">
        <f t="shared" si="19"/>
        <v>Haselnüsse</v>
      </c>
      <c r="D243" s="694"/>
      <c r="E243" s="947" t="s">
        <v>1797</v>
      </c>
      <c r="F243" s="3064" t="s">
        <v>1794</v>
      </c>
      <c r="G243" s="3067" t="s">
        <v>57</v>
      </c>
      <c r="H243" s="2658"/>
      <c r="I243" s="1020">
        <v>90</v>
      </c>
      <c r="J243" s="978">
        <v>25</v>
      </c>
      <c r="K243" s="978">
        <v>50</v>
      </c>
      <c r="L243" s="978">
        <v>15</v>
      </c>
      <c r="M243" s="1021"/>
      <c r="N243" s="306"/>
      <c r="O243" s="306"/>
      <c r="P243" s="306"/>
      <c r="Q243" s="306"/>
      <c r="R243" s="306"/>
      <c r="S243" s="306"/>
      <c r="T243" s="306"/>
      <c r="U243" s="306"/>
      <c r="V243" s="306"/>
      <c r="W243" s="306"/>
      <c r="X243" s="306"/>
      <c r="Y243" s="306"/>
      <c r="Z243" s="1469"/>
    </row>
    <row r="244" spans="1:26">
      <c r="A244" s="662"/>
      <c r="B244" s="4" t="s">
        <v>54</v>
      </c>
      <c r="D244" s="694"/>
      <c r="E244" s="1676" t="s">
        <v>1186</v>
      </c>
      <c r="F244" s="1677"/>
      <c r="G244" s="1679"/>
      <c r="H244" s="1679"/>
      <c r="I244" s="1677"/>
      <c r="J244" s="1677"/>
      <c r="K244" s="1677"/>
      <c r="L244" s="1677"/>
      <c r="M244" s="1678"/>
      <c r="N244" s="306"/>
      <c r="O244" s="306"/>
      <c r="P244" s="306"/>
      <c r="Q244" s="306"/>
      <c r="R244" s="306"/>
      <c r="S244" s="306"/>
      <c r="T244" s="306"/>
      <c r="U244" s="306"/>
      <c r="V244" s="306"/>
      <c r="W244" s="306"/>
      <c r="X244" s="306"/>
      <c r="Y244" s="306"/>
      <c r="Z244" s="1469"/>
    </row>
    <row r="245" spans="1:26">
      <c r="A245" s="662"/>
      <c r="B245" s="4" t="str">
        <f t="shared" si="19"/>
        <v>Weinreben</v>
      </c>
      <c r="D245" s="694"/>
      <c r="E245" s="946" t="s">
        <v>1187</v>
      </c>
      <c r="F245" s="978" t="s">
        <v>1637</v>
      </c>
      <c r="G245" s="1666" t="s">
        <v>57</v>
      </c>
      <c r="H245" s="1019"/>
      <c r="I245" s="1020">
        <v>50</v>
      </c>
      <c r="J245" s="978">
        <v>27</v>
      </c>
      <c r="K245" s="978">
        <v>78</v>
      </c>
      <c r="L245" s="978">
        <v>25</v>
      </c>
      <c r="M245" s="1021"/>
      <c r="N245" s="306"/>
      <c r="O245" s="306"/>
      <c r="P245" s="306"/>
      <c r="Q245" s="306"/>
      <c r="R245" s="306"/>
      <c r="S245" s="306"/>
      <c r="T245" s="306"/>
      <c r="U245" s="306"/>
      <c r="V245" s="306"/>
      <c r="W245" s="306"/>
      <c r="X245" s="306"/>
      <c r="Y245" s="306"/>
      <c r="Z245" s="1469"/>
    </row>
    <row r="246" spans="1:26">
      <c r="A246" s="662"/>
      <c r="B246" s="4" t="str">
        <f t="shared" si="19"/>
        <v>Tafeltrauben (12 t/ha)</v>
      </c>
      <c r="D246" s="694"/>
      <c r="E246" s="946" t="s">
        <v>1277</v>
      </c>
      <c r="F246" s="978" t="s">
        <v>1275</v>
      </c>
      <c r="G246" s="1666" t="s">
        <v>57</v>
      </c>
      <c r="H246" s="1019"/>
      <c r="I246" s="1020">
        <v>50</v>
      </c>
      <c r="J246" s="978">
        <v>27</v>
      </c>
      <c r="K246" s="978">
        <v>78</v>
      </c>
      <c r="L246" s="978">
        <v>25</v>
      </c>
      <c r="M246" s="1021"/>
      <c r="N246" s="306"/>
      <c r="O246" s="306"/>
      <c r="P246" s="306"/>
      <c r="Q246" s="306"/>
      <c r="R246" s="306"/>
      <c r="S246" s="306"/>
      <c r="T246" s="306"/>
      <c r="U246" s="306"/>
      <c r="V246" s="306"/>
      <c r="W246" s="306"/>
      <c r="X246" s="306"/>
      <c r="Y246" s="306"/>
      <c r="Z246" s="1469"/>
    </row>
    <row r="247" spans="1:26">
      <c r="A247" s="662"/>
      <c r="B247" s="4" t="str">
        <f t="shared" si="19"/>
        <v>Tafeltrauben (20 t/ha), hoher Ertrag</v>
      </c>
      <c r="D247" s="694"/>
      <c r="E247" s="946" t="s">
        <v>1278</v>
      </c>
      <c r="F247" s="978" t="s">
        <v>1276</v>
      </c>
      <c r="G247" s="1666" t="s">
        <v>57</v>
      </c>
      <c r="H247" s="1019"/>
      <c r="I247" s="1020">
        <v>60</v>
      </c>
      <c r="J247" s="978">
        <v>34</v>
      </c>
      <c r="K247" s="978">
        <v>102</v>
      </c>
      <c r="L247" s="978">
        <v>25</v>
      </c>
      <c r="M247" s="1021"/>
      <c r="N247" s="306"/>
      <c r="O247" s="306"/>
      <c r="P247" s="306"/>
      <c r="Q247" s="306"/>
      <c r="R247" s="306"/>
      <c r="S247" s="306"/>
      <c r="T247" s="306"/>
      <c r="U247" s="306"/>
      <c r="V247" s="306"/>
      <c r="W247" s="306"/>
      <c r="X247" s="306"/>
      <c r="Y247" s="306"/>
      <c r="Z247" s="1469"/>
    </row>
    <row r="248" spans="1:26">
      <c r="A248" s="662"/>
      <c r="B248" s="4" t="s">
        <v>54</v>
      </c>
      <c r="D248" s="694"/>
      <c r="E248" s="1676" t="s">
        <v>1188</v>
      </c>
      <c r="F248" s="1677"/>
      <c r="G248" s="3018" t="s">
        <v>2085</v>
      </c>
      <c r="H248" s="1679"/>
      <c r="I248" s="1677"/>
      <c r="J248" s="1677"/>
      <c r="K248" s="1677"/>
      <c r="L248" s="1677"/>
      <c r="M248" s="1678"/>
      <c r="N248" s="306"/>
      <c r="O248" s="306"/>
      <c r="P248" s="306"/>
      <c r="Q248" s="306"/>
      <c r="R248" s="306"/>
      <c r="S248" s="306"/>
      <c r="T248" s="306"/>
      <c r="U248" s="306"/>
      <c r="V248" s="306"/>
      <c r="W248" s="306"/>
      <c r="X248" s="306"/>
      <c r="Y248" s="306"/>
      <c r="Z248" s="1469"/>
    </row>
    <row r="249" spans="1:26" ht="14.25">
      <c r="A249" s="662"/>
      <c r="B249" s="4" t="str">
        <f t="shared" si="19"/>
        <v>Brombeeren, 2.0 kg/m2</v>
      </c>
      <c r="D249" s="694"/>
      <c r="E249" s="946" t="s">
        <v>1189</v>
      </c>
      <c r="F249" s="978" t="s">
        <v>2112</v>
      </c>
      <c r="G249" s="1666" t="s">
        <v>57</v>
      </c>
      <c r="H249" s="1019"/>
      <c r="I249" s="1020">
        <v>55</v>
      </c>
      <c r="J249" s="978">
        <v>34</v>
      </c>
      <c r="K249" s="978">
        <v>66</v>
      </c>
      <c r="L249" s="978">
        <v>15</v>
      </c>
      <c r="M249" s="1021"/>
      <c r="N249" s="306"/>
      <c r="O249" s="306"/>
      <c r="P249" s="306"/>
      <c r="Q249" s="306"/>
      <c r="R249" s="306"/>
      <c r="S249" s="306"/>
      <c r="T249" s="306"/>
      <c r="U249" s="306"/>
      <c r="V249" s="306"/>
      <c r="W249" s="306"/>
      <c r="X249" s="306"/>
      <c r="Y249" s="306"/>
      <c r="Z249" s="1469"/>
    </row>
    <row r="250" spans="1:26" ht="14.25">
      <c r="A250" s="662"/>
      <c r="B250" s="4" t="str">
        <f t="shared" si="19"/>
        <v>Brombeeren, 3.0 kg/m2</v>
      </c>
      <c r="D250" s="694"/>
      <c r="E250" s="946" t="s">
        <v>1190</v>
      </c>
      <c r="F250" s="978" t="s">
        <v>2113</v>
      </c>
      <c r="G250" s="1666" t="s">
        <v>57</v>
      </c>
      <c r="H250" s="1019"/>
      <c r="I250" s="1020">
        <v>85</v>
      </c>
      <c r="J250" s="978">
        <v>57</v>
      </c>
      <c r="K250" s="978">
        <v>102</v>
      </c>
      <c r="L250" s="978">
        <v>20</v>
      </c>
      <c r="M250" s="1021"/>
      <c r="N250" s="306"/>
      <c r="O250" s="306"/>
      <c r="P250" s="306"/>
      <c r="Q250" s="306"/>
      <c r="R250" s="306"/>
      <c r="S250" s="306"/>
      <c r="T250" s="306"/>
      <c r="U250" s="306"/>
      <c r="V250" s="306"/>
      <c r="W250" s="306"/>
      <c r="X250" s="306"/>
      <c r="Y250" s="306"/>
      <c r="Z250" s="1469"/>
    </row>
    <row r="251" spans="1:26" ht="14.25">
      <c r="A251" s="662"/>
      <c r="D251" s="694"/>
      <c r="E251" s="946" t="s">
        <v>2068</v>
      </c>
      <c r="F251" s="978" t="s">
        <v>2114</v>
      </c>
      <c r="G251" s="1666" t="s">
        <v>57</v>
      </c>
      <c r="H251" s="1019"/>
      <c r="I251" s="1020">
        <v>115</v>
      </c>
      <c r="J251" s="978">
        <v>80</v>
      </c>
      <c r="K251" s="978">
        <v>145</v>
      </c>
      <c r="L251" s="978">
        <v>25</v>
      </c>
      <c r="M251" s="1021"/>
      <c r="N251" s="306"/>
      <c r="O251" s="306"/>
      <c r="P251" s="306"/>
      <c r="Q251" s="306"/>
      <c r="R251" s="306"/>
      <c r="S251" s="306"/>
      <c r="T251" s="306"/>
      <c r="U251" s="306"/>
      <c r="V251" s="306"/>
      <c r="W251" s="306"/>
      <c r="X251" s="306"/>
      <c r="Y251" s="306"/>
      <c r="Z251" s="1469"/>
    </row>
    <row r="252" spans="1:26" ht="14.25">
      <c r="A252" s="662"/>
      <c r="B252" s="4" t="str">
        <f t="shared" si="19"/>
        <v>Cassis, 2.5 kg/m2</v>
      </c>
      <c r="D252" s="694"/>
      <c r="E252" s="946" t="s">
        <v>1191</v>
      </c>
      <c r="F252" s="978" t="s">
        <v>2074</v>
      </c>
      <c r="G252" s="1666" t="s">
        <v>57</v>
      </c>
      <c r="H252" s="1019"/>
      <c r="I252" s="1020">
        <v>90</v>
      </c>
      <c r="J252" s="978">
        <v>46</v>
      </c>
      <c r="K252" s="978">
        <v>157</v>
      </c>
      <c r="L252" s="978">
        <v>20</v>
      </c>
      <c r="M252" s="1021"/>
      <c r="N252" s="306"/>
      <c r="O252" s="306"/>
      <c r="P252" s="306"/>
      <c r="Q252" s="306"/>
      <c r="R252" s="306"/>
      <c r="S252" s="306"/>
      <c r="T252" s="306"/>
      <c r="U252" s="306"/>
      <c r="V252" s="306"/>
      <c r="W252" s="306"/>
      <c r="X252" s="306"/>
      <c r="Y252" s="306"/>
      <c r="Z252" s="1469"/>
    </row>
    <row r="253" spans="1:26" ht="14.25">
      <c r="A253" s="662"/>
      <c r="B253" s="4" t="str">
        <f t="shared" si="19"/>
        <v>Cassis, 3.5 kg/m2</v>
      </c>
      <c r="D253" s="694"/>
      <c r="E253" s="946" t="s">
        <v>1192</v>
      </c>
      <c r="F253" s="978" t="s">
        <v>2073</v>
      </c>
      <c r="G253" s="1666" t="s">
        <v>57</v>
      </c>
      <c r="H253" s="1019"/>
      <c r="I253" s="1020">
        <v>130</v>
      </c>
      <c r="J253" s="978">
        <v>69</v>
      </c>
      <c r="K253" s="978">
        <v>229</v>
      </c>
      <c r="L253" s="978">
        <v>25</v>
      </c>
      <c r="M253" s="1021"/>
      <c r="N253" s="306"/>
      <c r="O253" s="306"/>
      <c r="P253" s="306"/>
      <c r="Q253" s="306"/>
      <c r="R253" s="306"/>
      <c r="S253" s="306"/>
      <c r="T253" s="306"/>
      <c r="U253" s="306"/>
      <c r="V253" s="306"/>
      <c r="W253" s="306"/>
      <c r="X253" s="306"/>
      <c r="Y253" s="306"/>
      <c r="Z253" s="1469"/>
    </row>
    <row r="254" spans="1:26">
      <c r="A254" s="662"/>
      <c r="B254" s="4" t="str">
        <f t="shared" si="19"/>
        <v>Erdbeeren (mehrjährig)</v>
      </c>
      <c r="D254" s="694"/>
      <c r="E254" s="946" t="s">
        <v>1193</v>
      </c>
      <c r="F254" s="978" t="s">
        <v>1194</v>
      </c>
      <c r="G254" s="1666" t="s">
        <v>57</v>
      </c>
      <c r="H254" s="1019"/>
      <c r="I254" s="1020">
        <v>100</v>
      </c>
      <c r="J254" s="978">
        <v>34</v>
      </c>
      <c r="K254" s="978">
        <v>121</v>
      </c>
      <c r="L254" s="978">
        <v>20</v>
      </c>
      <c r="M254" s="1021"/>
      <c r="N254" s="306"/>
      <c r="O254" s="306"/>
      <c r="P254" s="306"/>
      <c r="Q254" s="306"/>
      <c r="R254" s="306"/>
      <c r="S254" s="306"/>
      <c r="T254" s="306"/>
      <c r="U254" s="306"/>
      <c r="V254" s="306"/>
      <c r="W254" s="306"/>
      <c r="X254" s="306"/>
      <c r="Y254" s="306"/>
      <c r="Z254" s="1469"/>
    </row>
    <row r="255" spans="1:26" ht="14.25">
      <c r="A255" s="662"/>
      <c r="B255" s="4" t="str">
        <f t="shared" si="19"/>
        <v>Heidelbeeren, 1.5 kg/m2</v>
      </c>
      <c r="D255" s="694"/>
      <c r="E255" s="946" t="s">
        <v>1195</v>
      </c>
      <c r="F255" s="978" t="s">
        <v>2083</v>
      </c>
      <c r="G255" s="1666" t="s">
        <v>57</v>
      </c>
      <c r="H255" s="1019"/>
      <c r="I255" s="1020">
        <v>55</v>
      </c>
      <c r="J255" s="978">
        <v>23</v>
      </c>
      <c r="K255" s="978">
        <v>72</v>
      </c>
      <c r="L255" s="978">
        <v>20</v>
      </c>
      <c r="M255" s="1021"/>
      <c r="N255" s="306"/>
      <c r="O255" s="306"/>
      <c r="P255" s="306"/>
      <c r="Q255" s="306"/>
      <c r="R255" s="306"/>
      <c r="S255" s="306"/>
      <c r="T255" s="306"/>
      <c r="U255" s="306"/>
      <c r="V255" s="306"/>
      <c r="W255" s="306"/>
      <c r="X255" s="306"/>
      <c r="Y255" s="306"/>
      <c r="Z255" s="1469"/>
    </row>
    <row r="256" spans="1:26" ht="14.25">
      <c r="A256" s="662"/>
      <c r="B256" s="4" t="str">
        <f t="shared" si="19"/>
        <v>Heidelbeeren, 2.5 kg/m2</v>
      </c>
      <c r="D256" s="694"/>
      <c r="E256" s="946" t="s">
        <v>1196</v>
      </c>
      <c r="F256" s="978" t="s">
        <v>2084</v>
      </c>
      <c r="G256" s="1666" t="s">
        <v>57</v>
      </c>
      <c r="H256" s="1019"/>
      <c r="I256" s="1020">
        <v>65</v>
      </c>
      <c r="J256" s="978">
        <v>46</v>
      </c>
      <c r="K256" s="978">
        <v>84</v>
      </c>
      <c r="L256" s="978">
        <v>30</v>
      </c>
      <c r="M256" s="1021"/>
      <c r="N256" s="306"/>
      <c r="O256" s="306"/>
      <c r="P256" s="306"/>
      <c r="Q256" s="306"/>
      <c r="R256" s="306"/>
      <c r="S256" s="306"/>
      <c r="T256" s="306"/>
      <c r="U256" s="306"/>
      <c r="V256" s="306"/>
      <c r="W256" s="306"/>
      <c r="X256" s="306"/>
      <c r="Y256" s="306"/>
      <c r="Z256" s="1469"/>
    </row>
    <row r="257" spans="1:26" ht="14.25">
      <c r="A257" s="662"/>
      <c r="B257" s="4" t="str">
        <f t="shared" si="19"/>
        <v>Himbeeren, 1.5 kg/m2</v>
      </c>
      <c r="D257" s="694"/>
      <c r="E257" s="946" t="s">
        <v>1197</v>
      </c>
      <c r="F257" s="978" t="s">
        <v>2086</v>
      </c>
      <c r="G257" s="1666" t="s">
        <v>57</v>
      </c>
      <c r="H257" s="1019"/>
      <c r="I257" s="1020">
        <v>45</v>
      </c>
      <c r="J257" s="978">
        <v>23</v>
      </c>
      <c r="K257" s="978">
        <v>60</v>
      </c>
      <c r="L257" s="978">
        <v>15</v>
      </c>
      <c r="M257" s="1021"/>
      <c r="N257" s="306"/>
      <c r="O257" s="306"/>
      <c r="P257" s="306"/>
      <c r="Q257" s="306"/>
      <c r="R257" s="306"/>
      <c r="S257" s="306"/>
      <c r="T257" s="306"/>
      <c r="U257" s="306"/>
      <c r="V257" s="306"/>
      <c r="W257" s="306"/>
      <c r="X257" s="306"/>
      <c r="Y257" s="306"/>
      <c r="Z257" s="1469"/>
    </row>
    <row r="258" spans="1:26" ht="14.25">
      <c r="A258" s="662"/>
      <c r="B258" s="4" t="str">
        <f t="shared" si="19"/>
        <v>Himbeeren, 2.5 kg/m2</v>
      </c>
      <c r="D258" s="694"/>
      <c r="E258" s="946" t="s">
        <v>1217</v>
      </c>
      <c r="F258" s="978" t="s">
        <v>2087</v>
      </c>
      <c r="G258" s="1666" t="s">
        <v>57</v>
      </c>
      <c r="H258" s="1019"/>
      <c r="I258" s="1020">
        <v>75</v>
      </c>
      <c r="J258" s="978">
        <v>46</v>
      </c>
      <c r="K258" s="978">
        <v>96</v>
      </c>
      <c r="L258" s="978">
        <v>20</v>
      </c>
      <c r="M258" s="1021"/>
      <c r="N258" s="306"/>
      <c r="O258" s="306"/>
      <c r="P258" s="306"/>
      <c r="Q258" s="306"/>
      <c r="R258" s="306"/>
      <c r="S258" s="306"/>
      <c r="T258" s="306"/>
      <c r="U258" s="306"/>
      <c r="V258" s="306"/>
      <c r="W258" s="306"/>
      <c r="X258" s="306"/>
      <c r="Y258" s="306"/>
      <c r="Z258" s="1469"/>
    </row>
    <row r="259" spans="1:26" ht="14.25">
      <c r="A259" s="662"/>
      <c r="B259" s="4" t="str">
        <f t="shared" si="19"/>
        <v>Himbeeren, 3.5 kg/m2</v>
      </c>
      <c r="D259" s="694"/>
      <c r="E259" s="946" t="s">
        <v>2067</v>
      </c>
      <c r="F259" s="978" t="s">
        <v>2088</v>
      </c>
      <c r="G259" s="1666" t="s">
        <v>57</v>
      </c>
      <c r="H259" s="1019"/>
      <c r="I259" s="1020">
        <v>105</v>
      </c>
      <c r="J259" s="978">
        <v>69</v>
      </c>
      <c r="K259" s="978">
        <v>133</v>
      </c>
      <c r="L259" s="978">
        <v>30</v>
      </c>
      <c r="M259" s="1021"/>
      <c r="N259" s="306"/>
      <c r="O259" s="306"/>
      <c r="P259" s="306"/>
      <c r="Q259" s="306"/>
      <c r="R259" s="306"/>
      <c r="S259" s="597" t="s">
        <v>1779</v>
      </c>
      <c r="T259" s="306"/>
      <c r="U259" s="306"/>
      <c r="V259" s="306"/>
      <c r="W259" s="306"/>
      <c r="X259" s="306"/>
      <c r="Y259" s="306"/>
      <c r="Z259" s="1469"/>
    </row>
    <row r="260" spans="1:26" ht="14.25">
      <c r="A260" s="662"/>
      <c r="B260" s="4" t="str">
        <f t="shared" si="19"/>
        <v>Johannisbeeren, rote, 2.0 kg/m2</v>
      </c>
      <c r="D260" s="694"/>
      <c r="E260" s="946" t="s">
        <v>1218</v>
      </c>
      <c r="F260" s="978" t="s">
        <v>2070</v>
      </c>
      <c r="G260" s="1666" t="s">
        <v>57</v>
      </c>
      <c r="H260" s="1019"/>
      <c r="I260" s="1020">
        <v>85</v>
      </c>
      <c r="J260" s="978">
        <v>46</v>
      </c>
      <c r="K260" s="978">
        <v>121</v>
      </c>
      <c r="L260" s="978">
        <v>15</v>
      </c>
      <c r="M260" s="1021"/>
      <c r="N260" s="306"/>
      <c r="O260" s="306"/>
      <c r="P260" s="306"/>
      <c r="Q260" s="306"/>
      <c r="R260" s="306"/>
      <c r="S260" s="306"/>
      <c r="T260" s="306"/>
      <c r="U260" s="306"/>
      <c r="V260" s="306"/>
      <c r="W260" s="306"/>
      <c r="X260" s="306"/>
      <c r="Y260" s="306"/>
      <c r="Z260" s="1469"/>
    </row>
    <row r="261" spans="1:26" ht="14.25">
      <c r="A261" s="662"/>
      <c r="B261" s="4" t="str">
        <f t="shared" si="19"/>
        <v>Johannisbeeren, rote, 2.5 kg/m2</v>
      </c>
      <c r="D261" s="694"/>
      <c r="E261" s="946" t="s">
        <v>1219</v>
      </c>
      <c r="F261" s="978" t="s">
        <v>2071</v>
      </c>
      <c r="G261" s="1666" t="s">
        <v>57</v>
      </c>
      <c r="H261" s="1019"/>
      <c r="I261" s="1020">
        <v>110</v>
      </c>
      <c r="J261" s="978">
        <v>57</v>
      </c>
      <c r="K261" s="978">
        <v>151</v>
      </c>
      <c r="L261" s="978">
        <v>20</v>
      </c>
      <c r="M261" s="1021"/>
      <c r="N261" s="306"/>
      <c r="O261" s="306"/>
      <c r="P261" s="306"/>
      <c r="Q261" s="306"/>
      <c r="R261" s="306"/>
      <c r="S261" s="306"/>
      <c r="T261" s="306"/>
      <c r="U261" s="306"/>
      <c r="V261" s="306"/>
      <c r="W261" s="306"/>
      <c r="X261" s="306"/>
      <c r="Y261" s="306"/>
      <c r="Z261" s="1469"/>
    </row>
    <row r="262" spans="1:26" ht="14.25">
      <c r="A262" s="662"/>
      <c r="D262" s="694"/>
      <c r="E262" s="946" t="s">
        <v>2069</v>
      </c>
      <c r="F262" s="978" t="s">
        <v>2072</v>
      </c>
      <c r="G262" s="1666" t="s">
        <v>57</v>
      </c>
      <c r="H262" s="1019"/>
      <c r="I262" s="1020">
        <v>160</v>
      </c>
      <c r="J262" s="978">
        <v>80</v>
      </c>
      <c r="K262" s="978">
        <v>253</v>
      </c>
      <c r="L262" s="978">
        <v>25</v>
      </c>
      <c r="M262" s="1021"/>
      <c r="N262" s="306"/>
      <c r="O262" s="306"/>
      <c r="P262" s="306"/>
      <c r="Q262" s="306"/>
      <c r="R262" s="306"/>
      <c r="S262" s="306"/>
      <c r="T262" s="306"/>
      <c r="U262" s="306"/>
      <c r="V262" s="306"/>
      <c r="W262" s="306"/>
      <c r="X262" s="306"/>
      <c r="Y262" s="306"/>
      <c r="Z262" s="1469"/>
    </row>
    <row r="263" spans="1:26" ht="14.25">
      <c r="A263" s="662"/>
      <c r="B263" s="4" t="str">
        <f t="shared" si="19"/>
        <v>Stachelbeeren, 1.7 kg/m2</v>
      </c>
      <c r="D263" s="694"/>
      <c r="E263" s="946" t="s">
        <v>1220</v>
      </c>
      <c r="F263" s="978" t="s">
        <v>2075</v>
      </c>
      <c r="G263" s="1666" t="s">
        <v>57</v>
      </c>
      <c r="H263" s="1019"/>
      <c r="I263" s="1020">
        <v>60</v>
      </c>
      <c r="J263" s="978">
        <v>34</v>
      </c>
      <c r="K263" s="978">
        <v>78</v>
      </c>
      <c r="L263" s="978">
        <v>15</v>
      </c>
      <c r="M263" s="1021"/>
      <c r="N263" s="306"/>
      <c r="O263" s="306"/>
      <c r="P263" s="306"/>
      <c r="Q263" s="306"/>
      <c r="R263" s="306"/>
      <c r="S263" s="306"/>
      <c r="T263" s="306"/>
      <c r="U263" s="306"/>
      <c r="V263" s="306"/>
      <c r="W263" s="306"/>
      <c r="X263" s="306"/>
      <c r="Y263" s="306"/>
      <c r="Z263" s="1469"/>
    </row>
    <row r="264" spans="1:26" ht="14.25">
      <c r="A264" s="662"/>
      <c r="B264" s="4" t="str">
        <f t="shared" si="19"/>
        <v>Stachelbeeren, 2.5 kg/m2</v>
      </c>
      <c r="D264" s="694"/>
      <c r="E264" s="946" t="s">
        <v>1221</v>
      </c>
      <c r="F264" s="978" t="s">
        <v>2076</v>
      </c>
      <c r="G264" s="1666" t="s">
        <v>57</v>
      </c>
      <c r="H264" s="1019"/>
      <c r="I264" s="1020">
        <v>95</v>
      </c>
      <c r="J264" s="978">
        <v>57</v>
      </c>
      <c r="K264" s="978">
        <v>127</v>
      </c>
      <c r="L264" s="978">
        <v>20</v>
      </c>
      <c r="M264" s="1021"/>
      <c r="N264" s="306"/>
      <c r="O264" s="306"/>
      <c r="P264" s="306"/>
      <c r="Q264" s="306"/>
      <c r="R264" s="306"/>
      <c r="S264" s="306"/>
      <c r="T264" s="306"/>
      <c r="U264" s="306"/>
      <c r="V264" s="306"/>
      <c r="W264" s="306"/>
      <c r="X264" s="306"/>
      <c r="Y264" s="306"/>
      <c r="Z264" s="1469"/>
    </row>
    <row r="265" spans="1:26">
      <c r="A265" s="662"/>
      <c r="B265" s="4" t="str">
        <f t="shared" si="19"/>
        <v>Strauchbeeren diverse (Minikiwi, Holunder, Goji, Aronia, Lonicera)</v>
      </c>
      <c r="D265" s="694"/>
      <c r="E265" s="949" t="s">
        <v>1222</v>
      </c>
      <c r="F265" s="979" t="s">
        <v>2089</v>
      </c>
      <c r="G265" s="1668" t="s">
        <v>57</v>
      </c>
      <c r="H265" s="1030"/>
      <c r="I265" s="1031">
        <v>85</v>
      </c>
      <c r="J265" s="979">
        <v>46</v>
      </c>
      <c r="K265" s="979">
        <v>121</v>
      </c>
      <c r="L265" s="979">
        <v>15</v>
      </c>
      <c r="M265" s="1032"/>
      <c r="N265" s="668" t="s">
        <v>1638</v>
      </c>
      <c r="O265" s="306"/>
      <c r="P265" s="306"/>
      <c r="Q265" s="306"/>
      <c r="R265" s="306"/>
      <c r="S265" s="306"/>
      <c r="T265" s="306"/>
      <c r="U265" s="306"/>
      <c r="V265" s="306"/>
      <c r="W265" s="306"/>
      <c r="X265" s="306"/>
      <c r="Y265" s="306"/>
      <c r="Z265" s="1469"/>
    </row>
    <row r="266" spans="1:26">
      <c r="A266" s="662"/>
      <c r="B266" s="4" t="s">
        <v>54</v>
      </c>
      <c r="D266" s="694"/>
      <c r="E266" s="1676" t="s">
        <v>1223</v>
      </c>
      <c r="F266" s="1677"/>
      <c r="G266" s="1679"/>
      <c r="H266" s="1679"/>
      <c r="I266" s="1677"/>
      <c r="J266" s="1677"/>
      <c r="K266" s="1677"/>
      <c r="L266" s="1677"/>
      <c r="M266" s="1678"/>
      <c r="N266" s="306"/>
      <c r="O266" s="306"/>
      <c r="P266" s="306"/>
      <c r="Q266" s="306"/>
      <c r="R266" s="306"/>
      <c r="S266" s="306"/>
      <c r="T266" s="306"/>
      <c r="U266" s="306"/>
      <c r="V266" s="306"/>
      <c r="W266" s="306"/>
      <c r="X266" s="306"/>
      <c r="Y266" s="306"/>
      <c r="Z266" s="1469"/>
    </row>
    <row r="267" spans="1:26">
      <c r="A267" s="662"/>
      <c r="B267" s="4" t="str">
        <f t="shared" ref="B267:B333" si="20">F267</f>
        <v>Rhabarber</v>
      </c>
      <c r="D267" s="694"/>
      <c r="E267" s="946" t="s">
        <v>1065</v>
      </c>
      <c r="F267" s="978" t="s">
        <v>1224</v>
      </c>
      <c r="G267" s="1666" t="s">
        <v>57</v>
      </c>
      <c r="H267" s="1019"/>
      <c r="I267" s="1020">
        <v>130</v>
      </c>
      <c r="J267" s="978">
        <v>30</v>
      </c>
      <c r="K267" s="978">
        <v>120</v>
      </c>
      <c r="L267" s="978">
        <v>10</v>
      </c>
      <c r="M267" s="1021"/>
      <c r="N267" s="306"/>
      <c r="O267" s="306"/>
      <c r="P267" s="306"/>
      <c r="Q267" s="306"/>
      <c r="R267" s="306"/>
      <c r="S267" s="306"/>
      <c r="T267" s="306"/>
      <c r="U267" s="306"/>
      <c r="V267" s="306"/>
      <c r="W267" s="306"/>
      <c r="X267" s="306"/>
      <c r="Y267" s="306"/>
      <c r="Z267" s="1469"/>
    </row>
    <row r="268" spans="1:26">
      <c r="A268" s="662"/>
      <c r="B268" s="4" t="str">
        <f t="shared" si="20"/>
        <v>Spargeln, Bleich-</v>
      </c>
      <c r="D268" s="694"/>
      <c r="E268" s="946" t="s">
        <v>1103</v>
      </c>
      <c r="F268" s="978" t="s">
        <v>1225</v>
      </c>
      <c r="G268" s="1666" t="s">
        <v>57</v>
      </c>
      <c r="H268" s="1019"/>
      <c r="I268" s="1020">
        <v>140</v>
      </c>
      <c r="J268" s="978">
        <v>30</v>
      </c>
      <c r="K268" s="978">
        <v>130</v>
      </c>
      <c r="L268" s="978">
        <v>20</v>
      </c>
      <c r="M268" s="1021"/>
      <c r="N268" s="306"/>
      <c r="O268" s="306"/>
      <c r="P268" s="306"/>
      <c r="Q268" s="306"/>
      <c r="R268" s="306"/>
      <c r="S268" s="306"/>
      <c r="T268" s="306"/>
      <c r="U268" s="306"/>
      <c r="V268" s="306"/>
      <c r="W268" s="306"/>
      <c r="X268" s="306"/>
      <c r="Y268" s="306"/>
      <c r="Z268" s="1469"/>
    </row>
    <row r="269" spans="1:26">
      <c r="A269" s="662"/>
      <c r="B269" s="4" t="str">
        <f t="shared" si="20"/>
        <v>Spargeln, Grün-</v>
      </c>
      <c r="D269" s="694"/>
      <c r="E269" s="946" t="s">
        <v>1104</v>
      </c>
      <c r="F269" s="978" t="s">
        <v>1226</v>
      </c>
      <c r="G269" s="1666" t="s">
        <v>57</v>
      </c>
      <c r="H269" s="1019"/>
      <c r="I269" s="1020">
        <v>150</v>
      </c>
      <c r="J269" s="978">
        <v>30</v>
      </c>
      <c r="K269" s="978">
        <v>110</v>
      </c>
      <c r="L269" s="978">
        <v>20</v>
      </c>
      <c r="M269" s="1021"/>
      <c r="N269" s="306"/>
      <c r="O269" s="306"/>
      <c r="P269" s="306"/>
      <c r="Q269" s="306"/>
      <c r="R269" s="306"/>
      <c r="S269" s="306"/>
      <c r="T269" s="306"/>
      <c r="U269" s="306"/>
      <c r="V269" s="306"/>
      <c r="W269" s="306"/>
      <c r="X269" s="306"/>
      <c r="Y269" s="306"/>
      <c r="Z269" s="1469"/>
    </row>
    <row r="270" spans="1:26">
      <c r="A270" s="662"/>
      <c r="B270" s="4" t="s">
        <v>54</v>
      </c>
      <c r="D270" s="694"/>
      <c r="E270" s="1676" t="s">
        <v>1227</v>
      </c>
      <c r="F270" s="1677"/>
      <c r="G270" s="1679"/>
      <c r="H270" s="1679"/>
      <c r="I270" s="1677"/>
      <c r="J270" s="1677"/>
      <c r="K270" s="1677"/>
      <c r="L270" s="1677"/>
      <c r="M270" s="1678"/>
      <c r="N270" s="306"/>
      <c r="O270" s="306"/>
      <c r="P270" s="306"/>
      <c r="Q270" s="306"/>
      <c r="R270" s="306"/>
      <c r="S270" s="306"/>
      <c r="T270" s="306"/>
      <c r="U270" s="306"/>
      <c r="V270" s="306"/>
      <c r="W270" s="306"/>
      <c r="X270" s="306"/>
      <c r="Y270" s="306"/>
      <c r="Z270" s="1469"/>
    </row>
    <row r="271" spans="1:26">
      <c r="A271" s="662"/>
      <c r="B271" s="4" t="str">
        <f t="shared" si="20"/>
        <v>Baumschulen</v>
      </c>
      <c r="D271" s="694"/>
      <c r="E271" s="946" t="s">
        <v>1640</v>
      </c>
      <c r="F271" s="978" t="s">
        <v>1639</v>
      </c>
      <c r="G271" s="1666" t="s">
        <v>57</v>
      </c>
      <c r="H271" s="1019"/>
      <c r="I271" s="1020">
        <v>50</v>
      </c>
      <c r="J271" s="978">
        <v>17</v>
      </c>
      <c r="K271" s="978">
        <v>37</v>
      </c>
      <c r="L271" s="978">
        <v>5</v>
      </c>
      <c r="M271" s="1021"/>
      <c r="N271" s="306"/>
      <c r="O271" s="306"/>
      <c r="P271" s="306"/>
      <c r="Q271" s="306"/>
      <c r="R271" s="306"/>
      <c r="S271" s="306"/>
      <c r="T271" s="306"/>
      <c r="U271" s="306"/>
      <c r="V271" s="306"/>
      <c r="W271" s="306"/>
      <c r="X271" s="306"/>
      <c r="Y271" s="306"/>
      <c r="Z271" s="1469"/>
    </row>
    <row r="272" spans="1:26">
      <c r="A272" s="662"/>
      <c r="B272" s="4" t="str">
        <f t="shared" si="20"/>
        <v>Baumschulen für Erwerbsobstbau (hohe Pflanzdichte)</v>
      </c>
      <c r="D272" s="694"/>
      <c r="E272" s="946" t="s">
        <v>1948</v>
      </c>
      <c r="F272" s="978" t="s">
        <v>1934</v>
      </c>
      <c r="G272" s="1666" t="s">
        <v>57</v>
      </c>
      <c r="H272" s="1019"/>
      <c r="I272" s="1020">
        <v>115</v>
      </c>
      <c r="J272" s="978">
        <v>45</v>
      </c>
      <c r="K272" s="978">
        <v>95</v>
      </c>
      <c r="L272" s="978">
        <v>13</v>
      </c>
      <c r="M272" s="1021"/>
      <c r="N272" s="306"/>
      <c r="O272" s="306"/>
      <c r="P272" s="306"/>
      <c r="Q272" s="306"/>
      <c r="R272" s="306"/>
      <c r="S272" s="306"/>
      <c r="T272" s="306"/>
      <c r="U272" s="306"/>
      <c r="V272" s="306"/>
      <c r="W272" s="306"/>
      <c r="X272" s="306"/>
      <c r="Y272" s="306"/>
      <c r="Z272" s="1469"/>
    </row>
    <row r="273" spans="1:31">
      <c r="A273" s="662"/>
      <c r="B273" s="4" t="str">
        <f t="shared" si="20"/>
        <v>Chinaschilf (200 dt TS/ha)</v>
      </c>
      <c r="D273" s="694"/>
      <c r="E273" s="946" t="s">
        <v>1293</v>
      </c>
      <c r="F273" s="978" t="s">
        <v>1294</v>
      </c>
      <c r="G273" s="1666" t="s">
        <v>57</v>
      </c>
      <c r="H273" s="1019"/>
      <c r="I273" s="1020">
        <v>30</v>
      </c>
      <c r="J273" s="978">
        <f>0.1*200</f>
        <v>20</v>
      </c>
      <c r="K273" s="978">
        <f>0.56*200</f>
        <v>112.00000000000001</v>
      </c>
      <c r="L273" s="978">
        <f>0.03*200</f>
        <v>6</v>
      </c>
      <c r="M273" s="1021">
        <v>707</v>
      </c>
      <c r="N273" s="306" t="s">
        <v>1295</v>
      </c>
      <c r="O273" s="306"/>
      <c r="P273" s="306"/>
      <c r="Q273" s="306"/>
      <c r="R273" s="306"/>
      <c r="S273" s="306" t="s">
        <v>1295</v>
      </c>
      <c r="T273" s="306"/>
      <c r="U273" s="306"/>
      <c r="V273" s="306"/>
      <c r="W273" s="306"/>
      <c r="X273" s="306"/>
      <c r="Y273" s="306"/>
      <c r="Z273" s="1469"/>
    </row>
    <row r="274" spans="1:31">
      <c r="A274" s="662"/>
      <c r="B274" s="4" t="str">
        <f t="shared" si="20"/>
        <v>Christbäume</v>
      </c>
      <c r="D274" s="694"/>
      <c r="E274" s="946" t="s">
        <v>1296</v>
      </c>
      <c r="F274" s="978" t="s">
        <v>1297</v>
      </c>
      <c r="G274" s="1666" t="s">
        <v>57</v>
      </c>
      <c r="H274" s="1019"/>
      <c r="I274" s="1020">
        <v>50</v>
      </c>
      <c r="J274" s="978">
        <v>35</v>
      </c>
      <c r="K274" s="978">
        <v>95</v>
      </c>
      <c r="L274" s="978">
        <v>20</v>
      </c>
      <c r="M274" s="1021"/>
      <c r="N274" s="306"/>
      <c r="O274" s="306"/>
      <c r="P274" s="306"/>
      <c r="Q274" s="306"/>
      <c r="R274" s="306"/>
      <c r="S274" s="306"/>
      <c r="T274" s="306"/>
      <c r="U274" s="306"/>
      <c r="V274" s="306"/>
      <c r="W274" s="306"/>
      <c r="X274" s="306"/>
      <c r="Y274" s="306"/>
      <c r="Z274" s="1469"/>
    </row>
    <row r="275" spans="1:31">
      <c r="A275" s="662"/>
      <c r="B275" s="4" t="str">
        <f t="shared" si="20"/>
        <v>Heil- u. Gewürzpflanzen (mehrjährig) -&gt; siehe Kräuter (mehrjährig)</v>
      </c>
      <c r="D275" s="694"/>
      <c r="E275" s="946" t="s">
        <v>1298</v>
      </c>
      <c r="F275" s="978" t="s">
        <v>1433</v>
      </c>
      <c r="G275" s="1019"/>
      <c r="H275" s="1019"/>
      <c r="I275" s="1020"/>
      <c r="J275" s="978"/>
      <c r="K275" s="978"/>
      <c r="L275" s="978"/>
      <c r="M275" s="1021"/>
      <c r="N275" s="306"/>
      <c r="O275" s="306"/>
      <c r="P275" s="306"/>
      <c r="Q275" s="306"/>
      <c r="R275" s="306"/>
      <c r="S275" s="306"/>
      <c r="T275" s="306"/>
      <c r="U275" s="306"/>
      <c r="V275" s="306"/>
      <c r="W275" s="306"/>
      <c r="X275" s="306"/>
      <c r="Y275" s="306"/>
      <c r="Z275" s="1469"/>
    </row>
    <row r="276" spans="1:31">
      <c r="A276" s="662"/>
      <c r="B276" s="4" t="str">
        <f t="shared" si="20"/>
        <v>Hopfen</v>
      </c>
      <c r="D276" s="694"/>
      <c r="E276" s="946" t="s">
        <v>1299</v>
      </c>
      <c r="F276" s="978" t="s">
        <v>1300</v>
      </c>
      <c r="G276" s="1666" t="s">
        <v>57</v>
      </c>
      <c r="H276" s="1019"/>
      <c r="I276" s="1020">
        <v>180</v>
      </c>
      <c r="J276" s="978">
        <v>60</v>
      </c>
      <c r="K276" s="978">
        <v>200</v>
      </c>
      <c r="L276" s="978">
        <v>50</v>
      </c>
      <c r="M276" s="1021"/>
      <c r="N276" s="306"/>
      <c r="O276" s="306"/>
      <c r="P276" s="306"/>
      <c r="Q276" s="306"/>
      <c r="R276" s="306"/>
      <c r="S276" s="306"/>
      <c r="T276" s="306"/>
      <c r="U276" s="306"/>
      <c r="V276" s="306"/>
      <c r="W276" s="306"/>
      <c r="X276" s="306"/>
      <c r="Y276" s="306"/>
      <c r="Z276" s="1469"/>
    </row>
    <row r="277" spans="1:31">
      <c r="A277" s="662"/>
      <c r="B277" s="4" t="str">
        <f t="shared" si="20"/>
        <v>Kräuter, mehrjährig, klein (8 kg/a)</v>
      </c>
      <c r="D277" s="1105"/>
      <c r="E277" s="946" t="s">
        <v>1434</v>
      </c>
      <c r="F277" s="978" t="s">
        <v>158</v>
      </c>
      <c r="G277" s="1666" t="s">
        <v>57</v>
      </c>
      <c r="H277" s="1019"/>
      <c r="I277" s="1020">
        <v>40</v>
      </c>
      <c r="J277" s="978">
        <v>15</v>
      </c>
      <c r="K277" s="978">
        <v>60</v>
      </c>
      <c r="L277" s="978">
        <v>10</v>
      </c>
      <c r="M277" s="1021"/>
      <c r="N277" s="709" t="s">
        <v>1068</v>
      </c>
      <c r="O277" s="306"/>
      <c r="P277" s="306"/>
      <c r="Q277" s="306"/>
      <c r="R277" s="306"/>
      <c r="S277" s="306"/>
      <c r="T277" s="306"/>
      <c r="U277" s="306"/>
      <c r="V277" s="306"/>
      <c r="W277" s="306"/>
      <c r="X277" s="306"/>
      <c r="Y277" s="306"/>
      <c r="Z277" s="1469"/>
    </row>
    <row r="278" spans="1:31">
      <c r="A278" s="662"/>
      <c r="B278" s="4" t="str">
        <f t="shared" si="20"/>
        <v>Kräuter, mehrjährig, mittel (25 kg/a)</v>
      </c>
      <c r="D278" s="1105"/>
      <c r="E278" s="946" t="s">
        <v>1435</v>
      </c>
      <c r="F278" s="978" t="s">
        <v>159</v>
      </c>
      <c r="G278" s="1666" t="s">
        <v>57</v>
      </c>
      <c r="H278" s="1019"/>
      <c r="I278" s="1020">
        <v>70</v>
      </c>
      <c r="J278" s="978">
        <v>30</v>
      </c>
      <c r="K278" s="978">
        <v>160</v>
      </c>
      <c r="L278" s="978">
        <v>15</v>
      </c>
      <c r="M278" s="1021"/>
      <c r="N278" s="668" t="s">
        <v>1069</v>
      </c>
      <c r="O278" s="306"/>
      <c r="P278" s="306"/>
      <c r="Q278" s="306"/>
      <c r="R278" s="306"/>
      <c r="S278" s="306"/>
      <c r="T278" s="306"/>
      <c r="U278" s="306"/>
      <c r="V278" s="306"/>
      <c r="W278" s="306"/>
      <c r="X278" s="306"/>
      <c r="Y278" s="306"/>
      <c r="Z278" s="1469"/>
    </row>
    <row r="279" spans="1:31">
      <c r="A279" s="662"/>
      <c r="B279" s="4" t="str">
        <f t="shared" si="20"/>
        <v>Kräuter, mehrjährig, mittel-gross (50 kg/a)</v>
      </c>
      <c r="D279" s="1105"/>
      <c r="E279" s="946" t="s">
        <v>1436</v>
      </c>
      <c r="F279" s="978" t="s">
        <v>160</v>
      </c>
      <c r="G279" s="1666" t="s">
        <v>57</v>
      </c>
      <c r="H279" s="1019"/>
      <c r="I279" s="1020">
        <v>120</v>
      </c>
      <c r="J279" s="978">
        <v>40</v>
      </c>
      <c r="K279" s="978">
        <v>200</v>
      </c>
      <c r="L279" s="978">
        <v>20</v>
      </c>
      <c r="M279" s="1021"/>
      <c r="N279" s="668" t="s">
        <v>1070</v>
      </c>
      <c r="O279" s="306"/>
      <c r="P279" s="306"/>
      <c r="Q279" s="306"/>
      <c r="R279" s="306"/>
      <c r="S279" s="306"/>
      <c r="T279" s="306"/>
      <c r="U279" s="306"/>
      <c r="V279" s="306"/>
      <c r="W279" s="306"/>
      <c r="X279" s="306"/>
      <c r="Y279" s="306"/>
      <c r="Z279" s="1469"/>
    </row>
    <row r="280" spans="1:31">
      <c r="A280" s="662"/>
      <c r="B280" s="4" t="str">
        <f t="shared" si="20"/>
        <v>Kräuter, mehrjährig, gross (75 kg/a)</v>
      </c>
      <c r="D280" s="1105"/>
      <c r="E280" s="946" t="s">
        <v>1437</v>
      </c>
      <c r="F280" s="978" t="s">
        <v>161</v>
      </c>
      <c r="G280" s="1666" t="s">
        <v>57</v>
      </c>
      <c r="H280" s="1019"/>
      <c r="I280" s="1020">
        <v>160</v>
      </c>
      <c r="J280" s="978">
        <v>50</v>
      </c>
      <c r="K280" s="978">
        <v>250</v>
      </c>
      <c r="L280" s="978">
        <v>25</v>
      </c>
      <c r="M280" s="1021"/>
      <c r="N280" s="306"/>
      <c r="O280" s="306"/>
      <c r="P280" s="306"/>
      <c r="Q280" s="306"/>
      <c r="R280" s="306"/>
      <c r="S280" s="306"/>
      <c r="T280" s="306"/>
      <c r="U280" s="306"/>
      <c r="V280" s="306"/>
      <c r="W280" s="306"/>
      <c r="X280" s="306"/>
      <c r="Y280" s="306"/>
      <c r="Z280" s="1469"/>
    </row>
    <row r="281" spans="1:31">
      <c r="A281" s="662"/>
      <c r="B281" s="4" t="str">
        <f t="shared" si="20"/>
        <v>Maulbeerbaumanlagen (Fütterung Seidenraupen)</v>
      </c>
      <c r="D281" s="1105"/>
      <c r="E281" s="949" t="s">
        <v>1949</v>
      </c>
      <c r="F281" s="979" t="s">
        <v>1935</v>
      </c>
      <c r="G281" s="1668" t="s">
        <v>57</v>
      </c>
      <c r="H281" s="1030"/>
      <c r="I281" s="1031">
        <v>85</v>
      </c>
      <c r="J281" s="979">
        <v>25</v>
      </c>
      <c r="K281" s="979"/>
      <c r="L281" s="979"/>
      <c r="M281" s="1032"/>
      <c r="N281" s="306"/>
      <c r="O281" s="306"/>
      <c r="P281" s="306"/>
      <c r="Q281" s="306"/>
      <c r="R281" s="306"/>
      <c r="S281" s="306"/>
      <c r="T281" s="306"/>
      <c r="U281" s="306"/>
      <c r="V281" s="306"/>
      <c r="W281" s="306"/>
      <c r="X281" s="306"/>
      <c r="Y281" s="306"/>
      <c r="Z281" s="1469"/>
    </row>
    <row r="282" spans="1:31" ht="13.5" thickBot="1">
      <c r="A282" s="662"/>
      <c r="B282" s="4" t="str">
        <f t="shared" si="20"/>
        <v>Ziersträucher, Ziergehölze, Zierstauden</v>
      </c>
      <c r="D282" s="694"/>
      <c r="E282" s="950" t="s">
        <v>681</v>
      </c>
      <c r="F282" s="980" t="s">
        <v>754</v>
      </c>
      <c r="G282" s="1669" t="s">
        <v>57</v>
      </c>
      <c r="H282" s="1033"/>
      <c r="I282" s="1034">
        <v>50</v>
      </c>
      <c r="J282" s="980">
        <v>17</v>
      </c>
      <c r="K282" s="980">
        <v>37</v>
      </c>
      <c r="L282" s="980">
        <v>5</v>
      </c>
      <c r="M282" s="1035"/>
      <c r="N282" s="306"/>
      <c r="O282" s="306"/>
      <c r="P282" s="306"/>
      <c r="Q282" s="306"/>
      <c r="R282" s="306"/>
      <c r="S282" s="306"/>
      <c r="T282" s="306"/>
      <c r="U282" s="306"/>
      <c r="V282" s="306"/>
      <c r="W282" s="306"/>
      <c r="X282" s="306"/>
      <c r="Y282" s="306"/>
      <c r="Z282" s="1469"/>
    </row>
    <row r="283" spans="1:31">
      <c r="D283" s="694"/>
      <c r="E283" s="306"/>
      <c r="N283" s="306"/>
      <c r="O283" s="306"/>
      <c r="P283" s="306"/>
      <c r="Q283" s="306"/>
      <c r="R283" s="306"/>
      <c r="S283" s="306"/>
      <c r="T283" s="306"/>
      <c r="U283" s="306"/>
      <c r="V283" s="306"/>
      <c r="W283" s="306"/>
      <c r="X283" s="306"/>
      <c r="Y283" s="306"/>
      <c r="Z283" s="1469"/>
    </row>
    <row r="284" spans="1:31" ht="159.94999999999999" customHeight="1" thickBot="1">
      <c r="D284" s="694"/>
      <c r="E284" s="306"/>
      <c r="M284" s="3475" t="s">
        <v>1420</v>
      </c>
      <c r="N284" s="3476"/>
      <c r="O284" s="306"/>
      <c r="P284" s="306"/>
      <c r="Q284" s="306"/>
      <c r="R284" s="306"/>
      <c r="S284" s="306"/>
      <c r="T284" s="306"/>
      <c r="U284" s="306"/>
      <c r="V284" s="306"/>
      <c r="W284" s="306"/>
      <c r="X284" s="306"/>
      <c r="Y284" s="306"/>
      <c r="Z284" s="1469"/>
    </row>
    <row r="285" spans="1:31" ht="13.5" thickBot="1">
      <c r="A285" s="1680" t="s">
        <v>1423</v>
      </c>
      <c r="D285" s="1087"/>
      <c r="E285" s="542" t="s">
        <v>1301</v>
      </c>
      <c r="F285" s="970"/>
      <c r="G285" s="1036"/>
      <c r="H285" s="970"/>
      <c r="I285" s="970"/>
      <c r="J285" s="970"/>
      <c r="K285" s="970"/>
      <c r="L285" s="1037"/>
      <c r="M285" s="1038"/>
      <c r="N285" s="884"/>
      <c r="O285" s="671"/>
      <c r="P285" s="1321"/>
      <c r="Q285" s="1321" t="s">
        <v>301</v>
      </c>
      <c r="R285" s="306"/>
      <c r="S285" s="2724"/>
      <c r="T285" s="2724"/>
      <c r="U285" s="306"/>
      <c r="V285" s="306"/>
      <c r="W285" s="306"/>
      <c r="X285" s="306"/>
      <c r="Y285" s="306"/>
      <c r="Z285" s="1469" t="s">
        <v>257</v>
      </c>
    </row>
    <row r="286" spans="1:31" ht="15.75">
      <c r="B286" s="4" t="str">
        <f t="shared" si="20"/>
        <v>Tierkategorie</v>
      </c>
      <c r="D286" s="1105"/>
      <c r="E286" s="951" t="s">
        <v>1302</v>
      </c>
      <c r="F286" s="981" t="s">
        <v>1303</v>
      </c>
      <c r="G286" s="1670" t="s">
        <v>52</v>
      </c>
      <c r="H286" s="1039" t="s">
        <v>590</v>
      </c>
      <c r="I286" s="1040" t="s">
        <v>939</v>
      </c>
      <c r="J286" s="1041" t="s">
        <v>924</v>
      </c>
      <c r="K286" s="1041" t="s">
        <v>925</v>
      </c>
      <c r="L286" s="1042" t="s">
        <v>64</v>
      </c>
      <c r="M286" s="1043" t="s">
        <v>690</v>
      </c>
      <c r="N286" s="885" t="s">
        <v>1304</v>
      </c>
      <c r="O286" s="305" t="s">
        <v>940</v>
      </c>
      <c r="P286" s="1322" t="s">
        <v>391</v>
      </c>
      <c r="Q286" s="1322" t="s">
        <v>302</v>
      </c>
      <c r="S286" s="2725" t="s">
        <v>61</v>
      </c>
      <c r="T286" s="2725" t="s">
        <v>1829</v>
      </c>
      <c r="U286" s="306"/>
      <c r="V286" s="306" t="s">
        <v>1706</v>
      </c>
      <c r="W286" s="306"/>
      <c r="X286" s="306"/>
      <c r="Y286" s="306"/>
      <c r="Z286" s="1469"/>
      <c r="AA286" s="2509"/>
      <c r="AB286" s="2509"/>
      <c r="AC286" s="2509"/>
      <c r="AD286" s="1087"/>
      <c r="AE286" s="1087"/>
    </row>
    <row r="287" spans="1:31" ht="13.5" thickBot="1">
      <c r="B287" s="2659"/>
      <c r="C287" s="2659"/>
      <c r="D287" s="2660"/>
      <c r="E287" s="952"/>
      <c r="F287" s="979"/>
      <c r="G287" s="1668"/>
      <c r="H287" s="1044" t="s">
        <v>591</v>
      </c>
      <c r="I287" s="1045" t="s">
        <v>1309</v>
      </c>
      <c r="J287" s="1046"/>
      <c r="K287" s="1046"/>
      <c r="L287" s="1047"/>
      <c r="M287" s="2718" t="s">
        <v>1310</v>
      </c>
      <c r="N287" s="2719" t="s">
        <v>1310</v>
      </c>
      <c r="O287" s="2710"/>
      <c r="P287" s="1322" t="s">
        <v>1310</v>
      </c>
      <c r="Q287" s="1322" t="s">
        <v>303</v>
      </c>
      <c r="S287" s="2726"/>
      <c r="T287" s="2727"/>
      <c r="U287" s="306"/>
      <c r="V287" s="306" t="s">
        <v>1707</v>
      </c>
      <c r="W287" s="306"/>
      <c r="X287" s="306"/>
      <c r="Y287" s="306"/>
      <c r="Z287" s="1469"/>
      <c r="AA287" s="2509"/>
      <c r="AB287" s="2509"/>
      <c r="AC287" s="2509"/>
      <c r="AD287" s="1087"/>
      <c r="AE287" s="1087"/>
    </row>
    <row r="288" spans="1:31" ht="13.5" thickBot="1">
      <c r="B288" s="2659"/>
      <c r="C288" s="2659"/>
      <c r="D288" s="2661"/>
      <c r="E288" s="535" t="s">
        <v>1320</v>
      </c>
      <c r="F288" s="975"/>
      <c r="G288" s="1036"/>
      <c r="H288" s="975"/>
      <c r="I288" s="975"/>
      <c r="J288" s="975"/>
      <c r="K288" s="975"/>
      <c r="L288" s="1048"/>
      <c r="M288" s="2722"/>
      <c r="N288" s="2713"/>
      <c r="O288" s="2714"/>
      <c r="P288" s="2715"/>
      <c r="Q288" s="2716"/>
      <c r="R288" s="2723"/>
      <c r="S288" s="2717"/>
      <c r="T288" s="2723"/>
      <c r="U288" s="306"/>
      <c r="V288" s="306" t="s">
        <v>1708</v>
      </c>
      <c r="W288" s="306"/>
      <c r="X288" s="306"/>
      <c r="Y288" s="306"/>
      <c r="Z288" s="1469"/>
      <c r="AA288" s="2509"/>
      <c r="AB288" s="2509"/>
      <c r="AC288" s="2509"/>
      <c r="AD288" s="2510"/>
      <c r="AE288" s="1087"/>
    </row>
    <row r="289" spans="2:31">
      <c r="B289" s="4" t="str">
        <f t="shared" si="20"/>
        <v xml:space="preserve"> -</v>
      </c>
      <c r="D289" s="1105"/>
      <c r="E289" s="953">
        <v>0</v>
      </c>
      <c r="F289" s="982" t="s">
        <v>945</v>
      </c>
      <c r="G289" s="1050"/>
      <c r="H289" s="1051"/>
      <c r="I289" s="1052"/>
      <c r="J289" s="1053" t="s">
        <v>54</v>
      </c>
      <c r="K289" s="1053"/>
      <c r="L289" s="1054"/>
      <c r="M289" s="2720"/>
      <c r="N289" s="2943"/>
      <c r="O289" s="2710"/>
      <c r="P289" s="599"/>
      <c r="Q289" s="2721"/>
      <c r="S289" s="306"/>
      <c r="U289" s="306"/>
      <c r="V289" s="1686" t="s">
        <v>1709</v>
      </c>
      <c r="W289" s="306"/>
      <c r="X289" s="306"/>
      <c r="Y289" s="306"/>
      <c r="Z289" s="1469"/>
      <c r="AA289" s="1087"/>
      <c r="AB289" s="1087"/>
      <c r="AC289" s="1087"/>
      <c r="AD289" s="2510"/>
      <c r="AE289" s="1087"/>
    </row>
    <row r="290" spans="2:31">
      <c r="B290" s="4" t="str">
        <f t="shared" si="20"/>
        <v>Milchkühe (7500 kg Jahresmilch, 806 kg KF)</v>
      </c>
      <c r="D290" s="1105" t="s">
        <v>1641</v>
      </c>
      <c r="E290" s="942" t="s">
        <v>1321</v>
      </c>
      <c r="F290" s="971" t="s">
        <v>1790</v>
      </c>
      <c r="G290" s="1662" t="s">
        <v>672</v>
      </c>
      <c r="H290" s="971">
        <v>56</v>
      </c>
      <c r="I290" s="1478">
        <f>ROUND(IF(Suisse_Bilanz_1.20!E20="ja",0.8,0.85)*112,2)</f>
        <v>95.2</v>
      </c>
      <c r="J290" s="1055">
        <v>39</v>
      </c>
      <c r="K290" s="1055">
        <v>172</v>
      </c>
      <c r="L290" s="1056">
        <v>14</v>
      </c>
      <c r="M290" s="2502">
        <v>1</v>
      </c>
      <c r="N290" s="2944">
        <v>1</v>
      </c>
      <c r="O290" s="305"/>
      <c r="P290" s="599">
        <v>1</v>
      </c>
      <c r="Q290" s="2942" t="s">
        <v>314</v>
      </c>
      <c r="S290" s="664">
        <v>112</v>
      </c>
      <c r="T290" s="2707">
        <f>ROUND(S290*0.8,2)</f>
        <v>89.6</v>
      </c>
      <c r="U290" s="306"/>
      <c r="V290" s="1427" t="s">
        <v>1710</v>
      </c>
      <c r="W290" s="306"/>
      <c r="X290" s="306"/>
      <c r="Y290" s="306"/>
      <c r="Z290" s="1469"/>
      <c r="AA290" s="2511"/>
      <c r="AB290" s="2511"/>
      <c r="AC290" s="2511"/>
      <c r="AD290" s="2512"/>
      <c r="AE290" s="2513"/>
    </row>
    <row r="291" spans="2:31">
      <c r="B291" s="4" t="str">
        <f t="shared" si="20"/>
        <v>*Galtkuh (Pl.)</v>
      </c>
      <c r="D291" s="1105" t="s">
        <v>1641</v>
      </c>
      <c r="E291" s="946" t="s">
        <v>0</v>
      </c>
      <c r="F291" s="978" t="s">
        <v>1262</v>
      </c>
      <c r="G291" s="1666" t="s">
        <v>1331</v>
      </c>
      <c r="H291" s="979">
        <v>40.6</v>
      </c>
      <c r="I291" s="1480">
        <f>ROUND(IF(Suisse_Bilanz_1.20!E20="ja",0.8,0.85)*80.5,2)</f>
        <v>68.430000000000007</v>
      </c>
      <c r="J291" s="1061">
        <v>28.7</v>
      </c>
      <c r="K291" s="1061">
        <v>128.80000000000001</v>
      </c>
      <c r="L291" s="1062">
        <v>8.4</v>
      </c>
      <c r="M291" s="2367">
        <v>0.73589743589743584</v>
      </c>
      <c r="N291" s="2945">
        <v>1</v>
      </c>
      <c r="O291" s="305"/>
      <c r="P291" s="599">
        <v>1</v>
      </c>
      <c r="Q291" s="664" t="s">
        <v>299</v>
      </c>
      <c r="S291" s="664">
        <v>80.5</v>
      </c>
      <c r="T291" s="2707">
        <f t="shared" ref="T291:T308" si="21">ROUND(S291*0.8,2)</f>
        <v>64.400000000000006</v>
      </c>
      <c r="U291" s="306"/>
      <c r="V291" s="306" t="s">
        <v>1711</v>
      </c>
      <c r="W291" s="306"/>
      <c r="X291" s="306"/>
      <c r="Y291" s="306"/>
      <c r="Z291" s="1469"/>
      <c r="AA291" s="2511"/>
      <c r="AB291" s="2511"/>
      <c r="AC291" s="2511"/>
      <c r="AD291" s="2512"/>
      <c r="AE291" s="2513"/>
    </row>
    <row r="292" spans="2:31">
      <c r="B292" s="4" t="str">
        <f t="shared" si="20"/>
        <v>*Milchkühe, Ausmast (Pl.)</v>
      </c>
      <c r="D292" s="1105" t="s">
        <v>1641</v>
      </c>
      <c r="E292" s="949" t="s">
        <v>1279</v>
      </c>
      <c r="F292" s="979" t="s">
        <v>1288</v>
      </c>
      <c r="G292" s="1668" t="s">
        <v>1331</v>
      </c>
      <c r="H292" s="972">
        <v>53.2</v>
      </c>
      <c r="I292" s="1480">
        <f>ROUND(IF(Suisse_Bilanz_1.20!E20="ja",0.8,0.85)*93.5,2)</f>
        <v>79.48</v>
      </c>
      <c r="J292" s="1079">
        <v>30</v>
      </c>
      <c r="K292" s="1079">
        <v>155</v>
      </c>
      <c r="L292" s="1080">
        <v>10.8</v>
      </c>
      <c r="M292" s="2503">
        <v>0.76923076923076916</v>
      </c>
      <c r="N292" s="2946">
        <v>1</v>
      </c>
      <c r="O292" s="701"/>
      <c r="P292" s="599">
        <v>1</v>
      </c>
      <c r="Q292" s="664" t="s">
        <v>299</v>
      </c>
      <c r="R292" s="306"/>
      <c r="S292" s="664">
        <v>93.5</v>
      </c>
      <c r="T292" s="2707">
        <f t="shared" si="21"/>
        <v>74.8</v>
      </c>
      <c r="U292" s="306"/>
      <c r="V292" s="306"/>
      <c r="W292" s="306"/>
      <c r="X292" s="306"/>
      <c r="Y292" s="306"/>
      <c r="Z292" s="1469"/>
      <c r="AA292" s="2511"/>
      <c r="AB292" s="2511"/>
      <c r="AC292" s="2511"/>
      <c r="AD292" s="2512"/>
      <c r="AE292" s="2513"/>
    </row>
    <row r="293" spans="2:31">
      <c r="B293" s="4" t="str">
        <f t="shared" si="20"/>
        <v>Zuchtstier</v>
      </c>
      <c r="D293" s="1105"/>
      <c r="E293" s="945" t="s">
        <v>1324</v>
      </c>
      <c r="F293" s="974" t="s">
        <v>1325</v>
      </c>
      <c r="G293" s="1665" t="s">
        <v>672</v>
      </c>
      <c r="H293" s="974">
        <v>30</v>
      </c>
      <c r="I293" s="1481">
        <v>40</v>
      </c>
      <c r="J293" s="1059">
        <v>18</v>
      </c>
      <c r="K293" s="1059">
        <v>85</v>
      </c>
      <c r="L293" s="1060">
        <v>5</v>
      </c>
      <c r="M293" s="1085">
        <v>0.46153846153846151</v>
      </c>
      <c r="N293" s="2947">
        <v>1</v>
      </c>
      <c r="O293" s="471"/>
      <c r="P293" s="1432">
        <v>0.6</v>
      </c>
      <c r="Q293" s="546" t="s">
        <v>299</v>
      </c>
      <c r="R293" s="306"/>
      <c r="S293" s="2706">
        <v>50</v>
      </c>
      <c r="T293" s="2708">
        <f t="shared" si="21"/>
        <v>40</v>
      </c>
      <c r="U293" s="306"/>
      <c r="V293" s="306"/>
      <c r="W293" s="306"/>
      <c r="X293" s="306"/>
      <c r="Y293" s="306"/>
      <c r="Z293" s="1469"/>
      <c r="AA293" s="2511"/>
      <c r="AB293" s="2511"/>
      <c r="AC293" s="2511"/>
      <c r="AD293" s="2512"/>
      <c r="AE293" s="2513"/>
    </row>
    <row r="294" spans="2:31">
      <c r="B294" s="4" t="str">
        <f t="shared" si="20"/>
        <v>Jungvieh bis 160 Tg. alt (Pl.)</v>
      </c>
      <c r="D294" s="1105" t="s">
        <v>1641</v>
      </c>
      <c r="E294" s="946" t="s">
        <v>1642</v>
      </c>
      <c r="F294" s="978" t="s">
        <v>1954</v>
      </c>
      <c r="G294" s="1666" t="s">
        <v>1331</v>
      </c>
      <c r="H294" s="978">
        <v>6</v>
      </c>
      <c r="I294" s="1482">
        <f>ROUND(23*IF(Suisse_Bilanz_1.20!E35="ja",0.8,0.85),2)</f>
        <v>19.55</v>
      </c>
      <c r="J294" s="1057">
        <v>5</v>
      </c>
      <c r="K294" s="1057">
        <v>22.9</v>
      </c>
      <c r="L294" s="1058">
        <v>1.3</v>
      </c>
      <c r="M294" s="1067">
        <v>0.1139047619047619</v>
      </c>
      <c r="N294" s="2948">
        <v>1</v>
      </c>
      <c r="O294" s="305"/>
      <c r="P294" s="2368">
        <v>0.13</v>
      </c>
      <c r="Q294" s="664" t="s">
        <v>299</v>
      </c>
      <c r="R294" s="306"/>
      <c r="S294" s="664">
        <v>23</v>
      </c>
      <c r="T294" s="2707">
        <f t="shared" si="21"/>
        <v>18.399999999999999</v>
      </c>
      <c r="U294" s="306"/>
      <c r="V294" s="2803" t="s">
        <v>1876</v>
      </c>
      <c r="W294" s="306"/>
      <c r="X294" s="306"/>
      <c r="Y294" s="306"/>
      <c r="Z294" s="1469"/>
      <c r="AA294" s="2511"/>
      <c r="AB294" s="2511"/>
      <c r="AC294" s="2511"/>
      <c r="AD294" s="2512"/>
      <c r="AE294" s="2513"/>
    </row>
    <row r="295" spans="2:31">
      <c r="B295" s="4" t="str">
        <f t="shared" si="20"/>
        <v>Jungvieh 160-365 Tg. alt (Pl.)</v>
      </c>
      <c r="D295" s="1105" t="s">
        <v>1641</v>
      </c>
      <c r="E295" s="946" t="s">
        <v>1643</v>
      </c>
      <c r="F295" s="978" t="s">
        <v>1801</v>
      </c>
      <c r="G295" s="1666" t="s">
        <v>1331</v>
      </c>
      <c r="H295" s="978">
        <v>20.2</v>
      </c>
      <c r="I295" s="1482">
        <f>ROUND(31*IF(Suisse_Bilanz_1.20!E35="ja",0.8,0.85),2)</f>
        <v>26.35</v>
      </c>
      <c r="J295" s="1057">
        <v>12</v>
      </c>
      <c r="K295" s="1057">
        <v>51.9</v>
      </c>
      <c r="L295" s="1058">
        <v>6.1</v>
      </c>
      <c r="M295" s="1067">
        <v>0.28914285714285715</v>
      </c>
      <c r="N295" s="2948">
        <v>1</v>
      </c>
      <c r="O295" s="305"/>
      <c r="P295" s="2368">
        <v>0.33</v>
      </c>
      <c r="Q295" s="664" t="s">
        <v>299</v>
      </c>
      <c r="R295" s="306"/>
      <c r="S295" s="664">
        <v>31</v>
      </c>
      <c r="T295" s="2707">
        <f t="shared" si="21"/>
        <v>24.8</v>
      </c>
      <c r="U295" s="306"/>
      <c r="V295" s="306"/>
      <c r="W295" s="306"/>
      <c r="X295" s="306"/>
      <c r="Y295" s="306"/>
      <c r="Z295" s="1469"/>
      <c r="AA295" s="2511"/>
      <c r="AB295" s="2511"/>
      <c r="AC295" s="2511"/>
      <c r="AD295" s="2512"/>
      <c r="AE295" s="2513"/>
    </row>
    <row r="296" spans="2:31">
      <c r="B296" s="4" t="str">
        <f t="shared" si="20"/>
        <v>Jungvieh 1-2 jährig (Pl.)</v>
      </c>
      <c r="D296" s="1105" t="s">
        <v>1537</v>
      </c>
      <c r="E296" s="946" t="s">
        <v>1322</v>
      </c>
      <c r="F296" s="978" t="s">
        <v>1802</v>
      </c>
      <c r="G296" s="1666" t="s">
        <v>1331</v>
      </c>
      <c r="H296" s="978">
        <v>26</v>
      </c>
      <c r="I296" s="1482">
        <f>ROUND(42.5*IF(Suisse_Bilanz_1.20!E35="ja",0.8,0.85),2)</f>
        <v>36.130000000000003</v>
      </c>
      <c r="J296" s="1057">
        <v>14</v>
      </c>
      <c r="K296" s="1057">
        <v>62.5</v>
      </c>
      <c r="L296" s="1058">
        <v>5.5</v>
      </c>
      <c r="M296" s="1067">
        <v>0.34782608695652173</v>
      </c>
      <c r="N296" s="2948">
        <v>1</v>
      </c>
      <c r="O296" s="305"/>
      <c r="P296" s="599">
        <v>0.4</v>
      </c>
      <c r="Q296" s="664" t="s">
        <v>299</v>
      </c>
      <c r="R296" s="306"/>
      <c r="S296" s="664">
        <v>42.5</v>
      </c>
      <c r="T296" s="2707">
        <f t="shared" si="21"/>
        <v>34</v>
      </c>
      <c r="U296" s="306"/>
      <c r="V296" s="306"/>
      <c r="W296" s="306"/>
      <c r="X296" s="306"/>
      <c r="Y296" s="306"/>
      <c r="Z296" s="1469"/>
      <c r="AA296" s="2511"/>
      <c r="AB296" s="2511"/>
      <c r="AC296" s="2511"/>
      <c r="AD296" s="2512"/>
      <c r="AE296" s="2513"/>
    </row>
    <row r="297" spans="2:31">
      <c r="B297" s="4" t="str">
        <f t="shared" si="20"/>
        <v>Jungvieh über 2 jährig (Pl.)</v>
      </c>
      <c r="D297" s="1105"/>
      <c r="E297" s="946" t="s">
        <v>1323</v>
      </c>
      <c r="F297" s="978" t="s">
        <v>1803</v>
      </c>
      <c r="G297" s="1666" t="s">
        <v>1331</v>
      </c>
      <c r="H297" s="978">
        <v>33</v>
      </c>
      <c r="I297" s="1482">
        <f>ROUND(55*IF(Suisse_Bilanz_1.20!E35="ja",0.8,0.85),2)</f>
        <v>46.75</v>
      </c>
      <c r="J297" s="1057">
        <v>20</v>
      </c>
      <c r="K297" s="1057">
        <v>75</v>
      </c>
      <c r="L297" s="1058">
        <v>7</v>
      </c>
      <c r="M297" s="1067">
        <v>0.52173913043478259</v>
      </c>
      <c r="N297" s="2948">
        <v>1</v>
      </c>
      <c r="O297" s="471"/>
      <c r="P297" s="1432">
        <v>0.6</v>
      </c>
      <c r="Q297" s="546" t="s">
        <v>299</v>
      </c>
      <c r="R297" s="306"/>
      <c r="S297" s="2706">
        <v>55</v>
      </c>
      <c r="T297" s="2708">
        <f t="shared" si="21"/>
        <v>44</v>
      </c>
      <c r="U297" s="306"/>
      <c r="V297" s="306"/>
      <c r="W297" s="306"/>
      <c r="X297" s="306"/>
      <c r="Y297" s="306"/>
      <c r="Z297" s="1469"/>
      <c r="AA297" s="2511"/>
      <c r="AB297" s="2511"/>
      <c r="AC297" s="2511"/>
      <c r="AD297" s="2512"/>
      <c r="AE297" s="2513"/>
    </row>
    <row r="298" spans="2:31">
      <c r="B298" s="4" t="str">
        <f t="shared" si="20"/>
        <v>Mutterkühe schwer, LG &gt; 700 kg (Werte ohne Kalb)</v>
      </c>
      <c r="D298" s="1105" t="s">
        <v>529</v>
      </c>
      <c r="E298" s="942" t="s">
        <v>1326</v>
      </c>
      <c r="F298" s="971" t="s">
        <v>1799</v>
      </c>
      <c r="G298" s="1662" t="s">
        <v>672</v>
      </c>
      <c r="H298" s="971">
        <v>50</v>
      </c>
      <c r="I298" s="1478">
        <v>76</v>
      </c>
      <c r="J298" s="1055">
        <v>31</v>
      </c>
      <c r="K298" s="1055">
        <v>158</v>
      </c>
      <c r="L298" s="1056">
        <v>10</v>
      </c>
      <c r="M298" s="2502">
        <v>0.82608695652173914</v>
      </c>
      <c r="N298" s="2944">
        <v>1</v>
      </c>
      <c r="O298" s="305"/>
      <c r="P298" s="599">
        <v>1</v>
      </c>
      <c r="Q298" s="664" t="s">
        <v>299</v>
      </c>
      <c r="R298" s="306"/>
      <c r="S298" s="664">
        <v>95</v>
      </c>
      <c r="T298" s="2707">
        <f t="shared" si="21"/>
        <v>76</v>
      </c>
      <c r="U298" s="306"/>
      <c r="V298" s="306"/>
      <c r="W298" s="306"/>
      <c r="X298" s="306"/>
      <c r="Y298" s="306"/>
      <c r="Z298" s="1469"/>
      <c r="AA298" s="2511"/>
      <c r="AB298" s="2511"/>
      <c r="AC298" s="2511"/>
      <c r="AD298" s="2512"/>
      <c r="AE298" s="2513"/>
    </row>
    <row r="299" spans="2:31">
      <c r="B299" s="4" t="str">
        <f t="shared" si="20"/>
        <v>Mutterkühe mittel, LG 600-700 kg (Werte ohne Kalb)</v>
      </c>
      <c r="D299" s="1105" t="s">
        <v>529</v>
      </c>
      <c r="E299" s="946" t="s">
        <v>528</v>
      </c>
      <c r="F299" s="972" t="s">
        <v>1800</v>
      </c>
      <c r="G299" s="1666" t="s">
        <v>672</v>
      </c>
      <c r="H299" s="978">
        <v>45</v>
      </c>
      <c r="I299" s="1482">
        <v>68</v>
      </c>
      <c r="J299" s="1057">
        <v>28</v>
      </c>
      <c r="K299" s="1057">
        <v>141</v>
      </c>
      <c r="L299" s="1058">
        <v>9</v>
      </c>
      <c r="M299" s="1067">
        <v>0.73913043478260865</v>
      </c>
      <c r="N299" s="2948">
        <v>1</v>
      </c>
      <c r="O299" s="305"/>
      <c r="P299" s="599">
        <v>1</v>
      </c>
      <c r="Q299" s="664" t="s">
        <v>299</v>
      </c>
      <c r="R299" s="306"/>
      <c r="S299" s="664">
        <v>85</v>
      </c>
      <c r="T299" s="2707">
        <f t="shared" si="21"/>
        <v>68</v>
      </c>
      <c r="U299" s="306"/>
      <c r="V299" s="306"/>
      <c r="W299" s="306"/>
      <c r="X299" s="306"/>
      <c r="Y299" s="306"/>
      <c r="Z299" s="1469"/>
      <c r="AA299" s="2511"/>
      <c r="AB299" s="2511"/>
      <c r="AC299" s="2511"/>
      <c r="AD299" s="2512"/>
      <c r="AE299" s="2513"/>
    </row>
    <row r="300" spans="2:31">
      <c r="B300" s="4" t="str">
        <f t="shared" si="20"/>
        <v>Mutterkühe leicht, LG bis 600 kg (Werte ohne Kalb)</v>
      </c>
      <c r="D300" s="1105" t="s">
        <v>529</v>
      </c>
      <c r="E300" s="946" t="s">
        <v>1327</v>
      </c>
      <c r="F300" s="972" t="s">
        <v>2129</v>
      </c>
      <c r="G300" s="1666" t="s">
        <v>672</v>
      </c>
      <c r="H300" s="978">
        <v>38</v>
      </c>
      <c r="I300" s="1482">
        <v>57.6</v>
      </c>
      <c r="J300" s="1057">
        <v>24</v>
      </c>
      <c r="K300" s="1057">
        <v>118</v>
      </c>
      <c r="L300" s="1058">
        <v>8</v>
      </c>
      <c r="M300" s="1067">
        <v>0.65217391304347827</v>
      </c>
      <c r="N300" s="2948">
        <v>1</v>
      </c>
      <c r="O300" s="305"/>
      <c r="P300" s="599">
        <v>1</v>
      </c>
      <c r="Q300" s="664" t="s">
        <v>299</v>
      </c>
      <c r="R300" s="306"/>
      <c r="S300" s="664">
        <v>72</v>
      </c>
      <c r="T300" s="2707">
        <f t="shared" si="21"/>
        <v>57.6</v>
      </c>
      <c r="U300" s="306"/>
      <c r="V300" s="306"/>
      <c r="W300" s="306"/>
      <c r="X300" s="306"/>
      <c r="Y300" s="306"/>
      <c r="Z300" s="1469"/>
      <c r="AA300" s="2511"/>
      <c r="AB300" s="2511"/>
      <c r="AC300" s="2511"/>
      <c r="AD300" s="2512"/>
      <c r="AE300" s="2513"/>
    </row>
    <row r="301" spans="2:31">
      <c r="B301" s="4" t="str">
        <f t="shared" si="20"/>
        <v>Mutterkuhkalb bis 160 d (Pl.)</v>
      </c>
      <c r="D301" s="1105"/>
      <c r="E301" s="946" t="s">
        <v>1806</v>
      </c>
      <c r="F301" s="978" t="s">
        <v>1804</v>
      </c>
      <c r="G301" s="1666" t="s">
        <v>1331</v>
      </c>
      <c r="H301" s="978">
        <v>2.8</v>
      </c>
      <c r="I301" s="1482">
        <f>ROUND(21.5*0.8,2)</f>
        <v>17.2</v>
      </c>
      <c r="J301" s="1057">
        <v>7.5</v>
      </c>
      <c r="K301" s="1057">
        <v>18.100000000000001</v>
      </c>
      <c r="L301" s="1058">
        <v>0.9</v>
      </c>
      <c r="M301" s="1067">
        <v>0.11</v>
      </c>
      <c r="N301" s="2948">
        <v>1</v>
      </c>
      <c r="O301" s="305"/>
      <c r="P301" s="599">
        <v>0.13</v>
      </c>
      <c r="Q301" s="664" t="s">
        <v>299</v>
      </c>
      <c r="R301" s="306"/>
      <c r="S301" s="664">
        <v>21.5</v>
      </c>
      <c r="T301" s="2707">
        <f t="shared" si="21"/>
        <v>17.2</v>
      </c>
      <c r="U301" s="306"/>
      <c r="V301" s="306"/>
      <c r="W301" s="306"/>
      <c r="X301" s="306"/>
      <c r="Y301" s="306"/>
      <c r="Z301" s="1469"/>
      <c r="AA301" s="2511"/>
      <c r="AB301" s="2511"/>
      <c r="AC301" s="2511"/>
      <c r="AD301" s="2512"/>
      <c r="AE301" s="2513"/>
    </row>
    <row r="302" spans="2:31">
      <c r="B302" s="4" t="str">
        <f t="shared" si="20"/>
        <v>Mutterkuhkalb &gt;160 d, leicht (bis 200 kg SG) (Pl.)</v>
      </c>
      <c r="D302" s="1105"/>
      <c r="E302" s="946" t="s">
        <v>1328</v>
      </c>
      <c r="F302" s="978" t="s">
        <v>1923</v>
      </c>
      <c r="G302" s="1666" t="s">
        <v>1331</v>
      </c>
      <c r="H302" s="978">
        <v>17.8</v>
      </c>
      <c r="I302" s="1482">
        <f>ROUND(39.8*0.8,2)</f>
        <v>31.84</v>
      </c>
      <c r="J302" s="1057">
        <v>12.3</v>
      </c>
      <c r="K302" s="1057">
        <v>61.3</v>
      </c>
      <c r="L302" s="1058">
        <v>3.5</v>
      </c>
      <c r="M302" s="1067">
        <v>7.1428571428571425E-2</v>
      </c>
      <c r="N302" s="2948">
        <v>1</v>
      </c>
      <c r="O302" s="305"/>
      <c r="P302" s="1433">
        <f>(160*0.13+140*0.33)/300</f>
        <v>0.22333333333333333</v>
      </c>
      <c r="Q302" s="664" t="s">
        <v>299</v>
      </c>
      <c r="R302" s="306"/>
      <c r="S302" s="664">
        <v>39.799999999999997</v>
      </c>
      <c r="T302" s="2707">
        <f t="shared" si="21"/>
        <v>31.84</v>
      </c>
      <c r="U302" s="306"/>
      <c r="V302" s="306"/>
      <c r="W302" s="306"/>
      <c r="X302" s="306"/>
      <c r="Y302" s="306"/>
      <c r="Z302" s="1469"/>
      <c r="AA302" s="2511"/>
      <c r="AB302" s="2511"/>
      <c r="AC302" s="2511"/>
      <c r="AD302" s="2512"/>
      <c r="AE302" s="2513"/>
    </row>
    <row r="303" spans="2:31">
      <c r="B303" s="4" t="str">
        <f t="shared" si="20"/>
        <v>Mutterkuhkalb &gt;160 d, mittelschwer (200-250 kg SG) (Pl.)</v>
      </c>
      <c r="D303" s="1105" t="s">
        <v>693</v>
      </c>
      <c r="E303" s="946" t="s">
        <v>1807</v>
      </c>
      <c r="F303" s="978" t="s">
        <v>1805</v>
      </c>
      <c r="G303" s="1666" t="s">
        <v>1331</v>
      </c>
      <c r="H303" s="978">
        <v>18.8</v>
      </c>
      <c r="I303" s="1482">
        <f>ROUND(46.3*0.8,2)</f>
        <v>37.04</v>
      </c>
      <c r="J303" s="1057">
        <v>13.9</v>
      </c>
      <c r="K303" s="1057">
        <v>66.3</v>
      </c>
      <c r="L303" s="1058">
        <v>3.9</v>
      </c>
      <c r="M303" s="1067">
        <v>0.12619047619047619</v>
      </c>
      <c r="N303" s="2948">
        <v>1</v>
      </c>
      <c r="O303" s="305"/>
      <c r="P303" s="1433">
        <f>(160*0.13+140*0.33)/300</f>
        <v>0.22333333333333333</v>
      </c>
      <c r="Q303" s="664" t="s">
        <v>299</v>
      </c>
      <c r="R303" s="306"/>
      <c r="S303" s="664">
        <v>46.3</v>
      </c>
      <c r="T303" s="2707">
        <f t="shared" si="21"/>
        <v>37.04</v>
      </c>
      <c r="U303" s="306"/>
      <c r="V303" s="306"/>
      <c r="W303" s="306"/>
      <c r="X303" s="306"/>
      <c r="Y303" s="306"/>
      <c r="Z303" s="1469"/>
      <c r="AA303" s="2511"/>
      <c r="AB303" s="2511"/>
      <c r="AC303" s="2511"/>
      <c r="AD303" s="2512"/>
      <c r="AE303" s="2513"/>
    </row>
    <row r="304" spans="2:31">
      <c r="B304" s="4" t="str">
        <f t="shared" si="20"/>
        <v>Mutterkuhkalb &gt;160 d, schwer (&gt;250 kg SG) (Pl.)</v>
      </c>
      <c r="D304" s="1105" t="s">
        <v>693</v>
      </c>
      <c r="E304" s="949" t="s">
        <v>1329</v>
      </c>
      <c r="F304" s="979" t="s">
        <v>1863</v>
      </c>
      <c r="G304" s="1668" t="s">
        <v>1331</v>
      </c>
      <c r="H304" s="979">
        <v>19.7</v>
      </c>
      <c r="I304" s="1479">
        <f>ROUND(52.4*0.8,2)</f>
        <v>41.92</v>
      </c>
      <c r="J304" s="1061">
        <v>15.3</v>
      </c>
      <c r="K304" s="1061">
        <v>70</v>
      </c>
      <c r="L304" s="1062">
        <v>4.2</v>
      </c>
      <c r="M304" s="2367">
        <v>0.18095238095238095</v>
      </c>
      <c r="N304" s="2945">
        <v>1</v>
      </c>
      <c r="O304" s="471"/>
      <c r="P304" s="1434">
        <f>(160*0.13+140*0.33)/300</f>
        <v>0.22333333333333333</v>
      </c>
      <c r="Q304" s="546" t="s">
        <v>299</v>
      </c>
      <c r="R304" s="306"/>
      <c r="S304" s="2706">
        <v>52.4</v>
      </c>
      <c r="T304" s="2708">
        <f t="shared" si="21"/>
        <v>41.92</v>
      </c>
      <c r="U304" s="306"/>
      <c r="V304" s="306"/>
      <c r="W304" s="306"/>
      <c r="X304" s="306"/>
      <c r="Y304" s="306"/>
      <c r="Z304" s="1469"/>
      <c r="AA304" s="2511"/>
      <c r="AB304" s="2511"/>
      <c r="AC304" s="2511"/>
      <c r="AD304" s="2512"/>
      <c r="AE304" s="2513"/>
    </row>
    <row r="305" spans="1:31">
      <c r="B305" s="4" t="str">
        <f t="shared" si="20"/>
        <v>Mastkälber (Pl.), 60-220 kg, 365 d besetzt gem. TVD</v>
      </c>
      <c r="D305" s="1105">
        <v>1.1499999999999999</v>
      </c>
      <c r="E305" s="942" t="s">
        <v>1330</v>
      </c>
      <c r="F305" s="971" t="s">
        <v>1644</v>
      </c>
      <c r="G305" s="1662" t="s">
        <v>1331</v>
      </c>
      <c r="H305" s="971">
        <v>1</v>
      </c>
      <c r="I305" s="1478">
        <f>ROUND(18.8*0.8,2)</f>
        <v>15.04</v>
      </c>
      <c r="J305" s="1055">
        <v>6.7</v>
      </c>
      <c r="K305" s="1055">
        <v>13.3</v>
      </c>
      <c r="L305" s="1056">
        <v>0.9</v>
      </c>
      <c r="M305" s="2502">
        <v>0.15238095238095239</v>
      </c>
      <c r="N305" s="2944">
        <v>1</v>
      </c>
      <c r="O305" s="305"/>
      <c r="P305" s="599">
        <v>0.13</v>
      </c>
      <c r="Q305" s="664" t="s">
        <v>299</v>
      </c>
      <c r="R305" s="306"/>
      <c r="S305" s="664">
        <v>18.8</v>
      </c>
      <c r="T305" s="2707">
        <f t="shared" si="21"/>
        <v>15.04</v>
      </c>
      <c r="U305" s="306"/>
      <c r="V305" s="306"/>
      <c r="W305" s="306"/>
      <c r="X305" s="306"/>
      <c r="Y305" s="306"/>
      <c r="Z305" s="1469"/>
      <c r="AA305" s="2511"/>
      <c r="AB305" s="2511"/>
      <c r="AC305" s="2511"/>
      <c r="AD305" s="2512"/>
      <c r="AE305" s="2513"/>
    </row>
    <row r="306" spans="1:31">
      <c r="B306" s="4" t="str">
        <f t="shared" si="20"/>
        <v>Rindviehmast bis 160 d (Pl.)</v>
      </c>
      <c r="D306" s="1105">
        <v>1.1599999999999999</v>
      </c>
      <c r="E306" s="946" t="s">
        <v>1</v>
      </c>
      <c r="F306" s="978" t="s">
        <v>1955</v>
      </c>
      <c r="G306" s="1666" t="s">
        <v>1331</v>
      </c>
      <c r="H306" s="978">
        <v>5.2</v>
      </c>
      <c r="I306" s="1482">
        <f>ROUND(22.6*0.8,2)</f>
        <v>18.079999999999998</v>
      </c>
      <c r="J306" s="1057">
        <v>8</v>
      </c>
      <c r="K306" s="1057">
        <v>14.6</v>
      </c>
      <c r="L306" s="1058">
        <v>3.4</v>
      </c>
      <c r="M306" s="1078">
        <v>0.18695652173913044</v>
      </c>
      <c r="N306" s="2948">
        <v>1</v>
      </c>
      <c r="O306" s="305"/>
      <c r="P306" s="2368">
        <v>0.13</v>
      </c>
      <c r="Q306" s="664" t="s">
        <v>299</v>
      </c>
      <c r="R306" s="306"/>
      <c r="S306" s="664">
        <v>22.6</v>
      </c>
      <c r="T306" s="2707">
        <f t="shared" si="21"/>
        <v>18.079999999999998</v>
      </c>
      <c r="U306" s="306"/>
      <c r="V306" s="306"/>
      <c r="W306" s="306"/>
      <c r="X306" s="306"/>
      <c r="Y306" s="306"/>
      <c r="Z306" s="1469"/>
      <c r="AA306" s="2511"/>
      <c r="AB306" s="2511"/>
      <c r="AC306" s="2511"/>
      <c r="AD306" s="2512"/>
      <c r="AE306" s="2513"/>
    </row>
    <row r="307" spans="1:31">
      <c r="B307" s="4" t="str">
        <f t="shared" si="20"/>
        <v>RV-Mast &gt; 160 d (1400 g TZW, 530 kg Ausstall-LG) (Pl.)</v>
      </c>
      <c r="D307" s="1105">
        <v>1.1599999999999999</v>
      </c>
      <c r="E307" s="946" t="s">
        <v>2</v>
      </c>
      <c r="F307" s="978" t="s">
        <v>1808</v>
      </c>
      <c r="G307" s="1666" t="s">
        <v>1331</v>
      </c>
      <c r="H307" s="978">
        <v>21</v>
      </c>
      <c r="I307" s="1482">
        <f>ROUND(44.6*0.8,2)</f>
        <v>35.68</v>
      </c>
      <c r="J307" s="1057">
        <v>13.4</v>
      </c>
      <c r="K307" s="1057">
        <v>36.200000000000003</v>
      </c>
      <c r="L307" s="1058">
        <v>5.8</v>
      </c>
      <c r="M307" s="1067">
        <v>0.45652173913043476</v>
      </c>
      <c r="N307" s="2948">
        <v>1</v>
      </c>
      <c r="O307" s="305"/>
      <c r="P307" s="1433">
        <f>(40*0.13+205*0.33+120*0.4)/365</f>
        <v>0.33109589041095894</v>
      </c>
      <c r="Q307" s="664" t="s">
        <v>299</v>
      </c>
      <c r="R307" s="306"/>
      <c r="S307" s="664">
        <v>44.6</v>
      </c>
      <c r="T307" s="2707">
        <f t="shared" si="21"/>
        <v>35.68</v>
      </c>
      <c r="U307" s="306"/>
      <c r="V307" s="306"/>
      <c r="W307" s="306"/>
      <c r="X307" s="306"/>
      <c r="Y307" s="306"/>
      <c r="Z307" s="1469"/>
      <c r="AA307" s="2511"/>
      <c r="AB307" s="2511"/>
      <c r="AC307" s="2511"/>
      <c r="AD307" s="2512"/>
      <c r="AE307" s="2513"/>
    </row>
    <row r="308" spans="1:31" ht="13.5" thickBot="1">
      <c r="B308" s="4" t="s">
        <v>1549</v>
      </c>
      <c r="D308" s="1105"/>
      <c r="E308" s="945" t="s">
        <v>1332</v>
      </c>
      <c r="F308" s="974" t="s">
        <v>1549</v>
      </c>
      <c r="G308" s="1665" t="s">
        <v>1331</v>
      </c>
      <c r="H308" s="974">
        <v>24</v>
      </c>
      <c r="I308" s="1481">
        <f>ROUND(45*0.8,2)</f>
        <v>36</v>
      </c>
      <c r="J308" s="1059">
        <v>18</v>
      </c>
      <c r="K308" s="1059">
        <v>65</v>
      </c>
      <c r="L308" s="1060">
        <v>5</v>
      </c>
      <c r="M308" s="2709">
        <v>0.43478260869565216</v>
      </c>
      <c r="N308" s="2949">
        <v>1</v>
      </c>
      <c r="O308" s="2710"/>
      <c r="P308" s="1433">
        <f>(40*0.13+205*0.33+365*0.4)/610</f>
        <v>0.35877049180327875</v>
      </c>
      <c r="Q308" s="664" t="s">
        <v>299</v>
      </c>
      <c r="R308" s="306"/>
      <c r="S308" s="664">
        <v>45</v>
      </c>
      <c r="T308" s="2707">
        <f t="shared" si="21"/>
        <v>36</v>
      </c>
      <c r="U308" s="306"/>
      <c r="V308" s="306"/>
      <c r="W308" s="306"/>
      <c r="X308" s="306"/>
      <c r="Y308" s="306"/>
      <c r="Z308" s="1469"/>
      <c r="AA308" s="2511"/>
      <c r="AB308" s="2511"/>
      <c r="AC308" s="2511"/>
      <c r="AD308" s="2512"/>
      <c r="AE308" s="2513"/>
    </row>
    <row r="309" spans="1:31" ht="13.5" thickBot="1">
      <c r="B309" s="4" t="s">
        <v>1430</v>
      </c>
      <c r="D309" s="1105"/>
      <c r="E309" s="535" t="s">
        <v>607</v>
      </c>
      <c r="F309" s="975"/>
      <c r="G309" s="1036"/>
      <c r="H309" s="975"/>
      <c r="I309" s="1483"/>
      <c r="J309" s="1064"/>
      <c r="K309" s="1064"/>
      <c r="L309" s="1065"/>
      <c r="M309" s="2712"/>
      <c r="N309" s="2950"/>
      <c r="O309" s="2714"/>
      <c r="P309" s="2715"/>
      <c r="Q309" s="2716"/>
      <c r="R309" s="2717"/>
      <c r="S309" s="2717"/>
      <c r="T309" s="2717"/>
      <c r="U309" s="306"/>
      <c r="V309" s="306"/>
      <c r="W309" s="306"/>
      <c r="X309" s="306"/>
      <c r="Y309" s="306"/>
      <c r="Z309" s="1469" t="s">
        <v>780</v>
      </c>
    </row>
    <row r="310" spans="1:31" ht="13.5">
      <c r="B310" s="4" t="str">
        <f t="shared" si="20"/>
        <v>Pferde (&gt; 900 d, &gt;148 cm od. div. Rassen)</v>
      </c>
      <c r="D310" s="1105" t="s">
        <v>1537</v>
      </c>
      <c r="E310" s="946" t="s">
        <v>1730</v>
      </c>
      <c r="F310" s="978" t="s">
        <v>1731</v>
      </c>
      <c r="G310" s="1666" t="s">
        <v>1331</v>
      </c>
      <c r="H310" s="978">
        <v>28</v>
      </c>
      <c r="I310" s="1482">
        <f>ROUND(43*0.7,2)</f>
        <v>30.1</v>
      </c>
      <c r="J310" s="1057">
        <v>21</v>
      </c>
      <c r="K310" s="1057">
        <v>72</v>
      </c>
      <c r="L310" s="1058">
        <v>4.5</v>
      </c>
      <c r="M310" s="1067">
        <v>0.2857142857142857</v>
      </c>
      <c r="N310" s="2948">
        <v>1</v>
      </c>
      <c r="O310" s="2974" t="s">
        <v>1956</v>
      </c>
      <c r="P310" s="1435">
        <v>0.7</v>
      </c>
      <c r="Q310" s="664" t="s">
        <v>299</v>
      </c>
      <c r="R310" s="2711" t="s">
        <v>1745</v>
      </c>
      <c r="S310" s="2580"/>
      <c r="T310" s="2546" t="s">
        <v>1732</v>
      </c>
      <c r="U310" s="2544"/>
      <c r="V310" s="2544"/>
      <c r="W310" s="2544" t="s">
        <v>1735</v>
      </c>
      <c r="X310" s="2544"/>
      <c r="Y310" s="2544" t="s">
        <v>1738</v>
      </c>
      <c r="Z310" s="2544"/>
      <c r="AA310" s="2545"/>
      <c r="AB310" s="2545"/>
      <c r="AC310" s="2545" t="s">
        <v>1740</v>
      </c>
      <c r="AD310" s="2545"/>
      <c r="AE310" s="2552"/>
    </row>
    <row r="311" spans="1:31">
      <c r="B311" s="4" t="str">
        <f t="shared" si="20"/>
        <v>Pferde (181-900 d, &gt;148 cm od. div. Rassen)</v>
      </c>
      <c r="D311" s="1105"/>
      <c r="E311" s="946" t="s">
        <v>1333</v>
      </c>
      <c r="F311" s="978" t="s">
        <v>1888</v>
      </c>
      <c r="G311" s="1666" t="s">
        <v>1331</v>
      </c>
      <c r="H311" s="978">
        <v>28</v>
      </c>
      <c r="I311" s="1482">
        <v>30.1</v>
      </c>
      <c r="J311" s="1057">
        <v>21</v>
      </c>
      <c r="K311" s="1057">
        <v>72</v>
      </c>
      <c r="L311" s="1058">
        <v>4.5</v>
      </c>
      <c r="M311" s="1067">
        <v>0.23809523809523808</v>
      </c>
      <c r="N311" s="2948">
        <v>1</v>
      </c>
      <c r="O311" s="305"/>
      <c r="P311" s="1435">
        <v>0.5</v>
      </c>
      <c r="Q311" s="664" t="s">
        <v>299</v>
      </c>
      <c r="R311" s="2579" t="s">
        <v>1744</v>
      </c>
      <c r="S311" s="2580"/>
      <c r="T311" s="2546" t="s">
        <v>1733</v>
      </c>
      <c r="U311" s="2547"/>
      <c r="V311" s="2547"/>
      <c r="W311" s="2547" t="s">
        <v>1736</v>
      </c>
      <c r="X311" s="2547"/>
      <c r="Y311" s="2547" t="s">
        <v>1739</v>
      </c>
      <c r="Z311" s="2547"/>
      <c r="AA311" s="2548"/>
      <c r="AB311" s="2548"/>
      <c r="AC311" s="2548" t="s">
        <v>1741</v>
      </c>
      <c r="AD311" s="2548"/>
      <c r="AE311" s="2552"/>
    </row>
    <row r="312" spans="1:31">
      <c r="B312" s="4" t="str">
        <f t="shared" si="20"/>
        <v>Pferde (bis 180 d, &gt;148 cm od. div. Rassen)</v>
      </c>
      <c r="D312" s="1105" t="s">
        <v>1537</v>
      </c>
      <c r="E312" s="949" t="s">
        <v>1341</v>
      </c>
      <c r="F312" s="979" t="s">
        <v>1569</v>
      </c>
      <c r="G312" s="1668" t="s">
        <v>1331</v>
      </c>
      <c r="H312" s="979">
        <v>5</v>
      </c>
      <c r="I312" s="1479">
        <f>ROUND(28*0.7,2)</f>
        <v>19.600000000000001</v>
      </c>
      <c r="J312" s="1061">
        <v>9</v>
      </c>
      <c r="K312" s="1061">
        <v>26</v>
      </c>
      <c r="L312" s="1062">
        <v>1.6</v>
      </c>
      <c r="M312" s="2367">
        <v>4.7619047619047616E-2</v>
      </c>
      <c r="N312" s="2945">
        <v>1</v>
      </c>
      <c r="O312" s="305"/>
      <c r="P312" s="1435">
        <v>0.3</v>
      </c>
      <c r="Q312" s="664" t="s">
        <v>299</v>
      </c>
      <c r="R312" s="2581" t="s">
        <v>1746</v>
      </c>
      <c r="S312" s="2582"/>
      <c r="T312" s="2549" t="s">
        <v>1734</v>
      </c>
      <c r="U312" s="2547"/>
      <c r="V312" s="2547"/>
      <c r="W312" s="2547" t="s">
        <v>1737</v>
      </c>
      <c r="X312" s="2547"/>
      <c r="Y312" s="2547" t="s">
        <v>1743</v>
      </c>
      <c r="Z312" s="2547"/>
      <c r="AA312" s="2548"/>
      <c r="AB312" s="2548"/>
      <c r="AC312" s="2548" t="s">
        <v>1742</v>
      </c>
      <c r="AD312" s="2548"/>
      <c r="AE312" s="2552"/>
    </row>
    <row r="313" spans="1:31">
      <c r="B313" s="4" t="str">
        <f t="shared" si="20"/>
        <v>Ponies, Kleinpferde, Esel (jeden Alters) (Pl.)</v>
      </c>
      <c r="D313" s="1105"/>
      <c r="E313" s="2526" t="s">
        <v>1342</v>
      </c>
      <c r="F313" s="2527" t="s">
        <v>1809</v>
      </c>
      <c r="G313" s="2528" t="s">
        <v>1331</v>
      </c>
      <c r="H313" s="2529">
        <v>10.4</v>
      </c>
      <c r="I313" s="2530">
        <f>ROUND(15.7*0.7,2)</f>
        <v>10.99</v>
      </c>
      <c r="J313" s="2531">
        <v>8.1999999999999993</v>
      </c>
      <c r="K313" s="2532">
        <v>26.8</v>
      </c>
      <c r="L313" s="2533">
        <v>1.8</v>
      </c>
      <c r="M313" s="2534">
        <v>0.10204081632653061</v>
      </c>
      <c r="N313" s="2951">
        <v>1</v>
      </c>
      <c r="O313" s="2535"/>
      <c r="P313" s="2977">
        <v>0.25</v>
      </c>
      <c r="Q313" s="2536" t="s">
        <v>299</v>
      </c>
      <c r="R313" s="2538" t="s">
        <v>1747</v>
      </c>
      <c r="S313" s="2539"/>
      <c r="T313" s="2539"/>
      <c r="U313" s="2539"/>
      <c r="V313" s="2539"/>
      <c r="W313" s="2539"/>
      <c r="X313" s="2539"/>
      <c r="Y313" s="2539"/>
      <c r="Z313" s="2539"/>
      <c r="AA313" s="2540"/>
      <c r="AB313" s="2540"/>
      <c r="AC313" s="2540"/>
      <c r="AD313" s="2541"/>
      <c r="AE313" s="1469"/>
    </row>
    <row r="314" spans="1:31">
      <c r="B314" s="4" t="str">
        <f t="shared" si="20"/>
        <v>Maultiere, Maulesel (bis 180 d)</v>
      </c>
      <c r="D314" s="1105" t="s">
        <v>1537</v>
      </c>
      <c r="E314" s="942" t="s">
        <v>1540</v>
      </c>
      <c r="F314" s="971" t="s">
        <v>1542</v>
      </c>
      <c r="G314" s="1662" t="s">
        <v>1331</v>
      </c>
      <c r="H314" s="2614">
        <v>3</v>
      </c>
      <c r="I314" s="1478">
        <f>ROUND(14*0.7,2)</f>
        <v>9.8000000000000007</v>
      </c>
      <c r="J314" s="1055">
        <v>8.1999999999999993</v>
      </c>
      <c r="K314" s="2615">
        <v>16</v>
      </c>
      <c r="L314" s="2616">
        <v>1</v>
      </c>
      <c r="M314" s="2502">
        <v>4.3386243386243382E-2</v>
      </c>
      <c r="N314" s="2952">
        <v>1</v>
      </c>
      <c r="O314" s="305"/>
      <c r="P314" s="599">
        <v>0.15</v>
      </c>
      <c r="Q314" s="664" t="s">
        <v>299</v>
      </c>
      <c r="R314" s="306"/>
      <c r="S314" s="306"/>
      <c r="T314" s="306"/>
      <c r="U314" s="306"/>
      <c r="V314" s="306"/>
      <c r="W314" s="306"/>
      <c r="X314" s="306"/>
      <c r="Y314" s="306"/>
      <c r="Z314" s="306"/>
      <c r="AA314" s="2511"/>
      <c r="AB314" s="2511"/>
      <c r="AC314" s="2511"/>
      <c r="AD314" s="2512"/>
      <c r="AE314" s="1469" t="s">
        <v>54</v>
      </c>
    </row>
    <row r="315" spans="1:31" ht="13.5" thickBot="1">
      <c r="B315" s="4" t="str">
        <f t="shared" si="20"/>
        <v>Maultiere, Maulesel (&gt; 180 d)</v>
      </c>
      <c r="D315" s="1105" t="s">
        <v>1537</v>
      </c>
      <c r="E315" s="954" t="s">
        <v>1541</v>
      </c>
      <c r="F315" s="983" t="s">
        <v>1539</v>
      </c>
      <c r="G315" s="1671" t="s">
        <v>1331</v>
      </c>
      <c r="H315" s="983">
        <v>17</v>
      </c>
      <c r="I315" s="1484">
        <f>ROUND(26*0.7,2)</f>
        <v>18.2</v>
      </c>
      <c r="J315" s="1069">
        <v>13</v>
      </c>
      <c r="K315" s="1069">
        <v>43</v>
      </c>
      <c r="L315" s="1070">
        <v>3</v>
      </c>
      <c r="M315" s="2504">
        <v>0.14739229024943309</v>
      </c>
      <c r="N315" s="2943">
        <v>1</v>
      </c>
      <c r="O315" s="305"/>
      <c r="P315" s="2976">
        <v>0.25</v>
      </c>
      <c r="Q315" s="664" t="s">
        <v>299</v>
      </c>
      <c r="R315" s="2975" t="s">
        <v>1748</v>
      </c>
      <c r="S315" s="2537"/>
      <c r="T315" s="2537"/>
      <c r="U315" s="2537"/>
      <c r="V315" s="2537"/>
      <c r="W315" s="2537"/>
      <c r="X315" s="2537"/>
      <c r="Y315" s="2537"/>
      <c r="Z315" s="2537"/>
      <c r="AA315" s="2542"/>
      <c r="AB315" s="2542"/>
      <c r="AC315" s="2542"/>
      <c r="AD315" s="2543"/>
      <c r="AE315" s="1469" t="s">
        <v>54</v>
      </c>
    </row>
    <row r="316" spans="1:31" ht="13.5" thickBot="1">
      <c r="B316" s="4" t="s">
        <v>1430</v>
      </c>
      <c r="D316" s="1105"/>
      <c r="E316" s="535" t="s">
        <v>1343</v>
      </c>
      <c r="F316" s="975"/>
      <c r="G316" s="1036"/>
      <c r="H316" s="975"/>
      <c r="I316" s="1483"/>
      <c r="J316" s="975"/>
      <c r="K316" s="975"/>
      <c r="L316" s="1048"/>
      <c r="M316" s="2730"/>
      <c r="N316" s="2950"/>
      <c r="O316" s="2714"/>
      <c r="P316" s="1431"/>
      <c r="Q316" s="1429"/>
      <c r="R316" s="306"/>
      <c r="S316" s="306"/>
      <c r="T316" s="306"/>
      <c r="U316" s="306"/>
      <c r="V316" s="306"/>
      <c r="W316" s="306"/>
      <c r="X316" s="306"/>
      <c r="Y316" s="306"/>
      <c r="Z316" s="1469" t="s">
        <v>1780</v>
      </c>
    </row>
    <row r="317" spans="1:31">
      <c r="B317" s="4" t="str">
        <f t="shared" si="20"/>
        <v>Milchschafe, 500 kg Jahresmilchleistung</v>
      </c>
      <c r="D317" s="1105">
        <v>1.19</v>
      </c>
      <c r="E317" s="942" t="s">
        <v>1943</v>
      </c>
      <c r="F317" s="971" t="s">
        <v>1940</v>
      </c>
      <c r="G317" s="1662" t="s">
        <v>1331</v>
      </c>
      <c r="H317" s="971">
        <v>9.3000000000000007</v>
      </c>
      <c r="I317" s="1478">
        <v>13.66</v>
      </c>
      <c r="J317" s="1055">
        <v>6.6</v>
      </c>
      <c r="K317" s="1055">
        <v>28.1</v>
      </c>
      <c r="L317" s="1056">
        <v>1.6</v>
      </c>
      <c r="M317" s="1066">
        <v>0.10952380952380951</v>
      </c>
      <c r="N317" s="2944">
        <v>1</v>
      </c>
      <c r="O317" s="1091"/>
      <c r="P317" s="599">
        <v>0.25</v>
      </c>
      <c r="Q317" s="2942" t="s">
        <v>314</v>
      </c>
      <c r="R317" s="306"/>
      <c r="S317" s="306"/>
      <c r="T317" s="306"/>
      <c r="U317" s="306"/>
      <c r="V317" s="306"/>
      <c r="W317" s="306"/>
      <c r="X317" s="306"/>
      <c r="Y317" s="306"/>
      <c r="Z317" s="1469" t="s">
        <v>54</v>
      </c>
      <c r="AA317" s="2511"/>
      <c r="AB317" s="2511"/>
      <c r="AC317" s="2511"/>
      <c r="AD317" s="2512"/>
      <c r="AE317" s="2513"/>
    </row>
    <row r="318" spans="1:31">
      <c r="B318" s="4" t="str">
        <f t="shared" si="20"/>
        <v>andere Schafe über 365 Tage alt (Pl.)</v>
      </c>
      <c r="D318" s="1105">
        <v>1.19</v>
      </c>
      <c r="E318" s="946" t="s">
        <v>1344</v>
      </c>
      <c r="F318" s="978" t="s">
        <v>1930</v>
      </c>
      <c r="G318" s="1666" t="s">
        <v>1331</v>
      </c>
      <c r="H318" s="978">
        <v>6.5</v>
      </c>
      <c r="I318" s="1482">
        <v>8.11</v>
      </c>
      <c r="J318" s="1057">
        <v>3.8</v>
      </c>
      <c r="K318" s="1057">
        <v>16.7</v>
      </c>
      <c r="L318" s="1058">
        <v>1</v>
      </c>
      <c r="M318" s="1067">
        <v>8.0952380952380956E-2</v>
      </c>
      <c r="N318" s="2948">
        <v>1</v>
      </c>
      <c r="O318" s="305"/>
      <c r="P318" s="599">
        <v>0.17</v>
      </c>
      <c r="Q318" s="664" t="s">
        <v>299</v>
      </c>
      <c r="R318" s="306"/>
      <c r="S318" s="306"/>
      <c r="T318" s="306"/>
      <c r="U318" s="306"/>
      <c r="V318" s="306"/>
      <c r="W318" s="306"/>
      <c r="X318" s="306"/>
      <c r="Y318" s="306"/>
      <c r="Z318" s="1469" t="s">
        <v>54</v>
      </c>
      <c r="AA318" s="2511"/>
      <c r="AB318" s="2511"/>
      <c r="AC318" s="2511"/>
      <c r="AD318" s="2512"/>
      <c r="AE318" s="2513"/>
    </row>
    <row r="319" spans="1:31">
      <c r="B319" s="4" t="str">
        <f t="shared" si="20"/>
        <v>Jungschafe über 180 bis 365 Tage alt (Pl.)</v>
      </c>
      <c r="D319" s="1105">
        <v>1.19</v>
      </c>
      <c r="E319" s="946" t="s">
        <v>1941</v>
      </c>
      <c r="F319" s="978" t="s">
        <v>1931</v>
      </c>
      <c r="G319" s="1666" t="s">
        <v>1331</v>
      </c>
      <c r="H319" s="978">
        <v>4.9000000000000004</v>
      </c>
      <c r="I319" s="1482">
        <v>8.36</v>
      </c>
      <c r="J319" s="1057">
        <v>3.5</v>
      </c>
      <c r="K319" s="1057">
        <v>16.5</v>
      </c>
      <c r="L319" s="1058">
        <v>1</v>
      </c>
      <c r="M319" s="1067">
        <v>8.0952380952380956E-2</v>
      </c>
      <c r="N319" s="2948">
        <v>1</v>
      </c>
      <c r="O319" s="2710"/>
      <c r="P319" s="599">
        <v>0.17</v>
      </c>
      <c r="Q319" s="2824" t="s">
        <v>299</v>
      </c>
      <c r="R319" s="306"/>
      <c r="S319" s="306"/>
      <c r="T319" s="306"/>
      <c r="U319" s="306"/>
      <c r="V319" s="306"/>
      <c r="W319" s="306"/>
      <c r="X319" s="306"/>
      <c r="Y319" s="306"/>
      <c r="Z319" s="1469"/>
      <c r="AA319" s="2511"/>
      <c r="AB319" s="2511"/>
      <c r="AC319" s="2511"/>
      <c r="AD319" s="2512"/>
      <c r="AE319" s="2513"/>
    </row>
    <row r="320" spans="1:31">
      <c r="A320" s="2979"/>
      <c r="B320" s="2979" t="str">
        <f t="shared" si="20"/>
        <v>Lämmer bis 180 Tage alt (Pl.)</v>
      </c>
      <c r="C320" s="2979"/>
      <c r="D320" s="2980">
        <v>1.19</v>
      </c>
      <c r="E320" s="2981" t="s">
        <v>1942</v>
      </c>
      <c r="F320" s="969" t="s">
        <v>1939</v>
      </c>
      <c r="G320" s="2982" t="s">
        <v>1331</v>
      </c>
      <c r="H320" s="969">
        <v>1.4</v>
      </c>
      <c r="I320" s="2983">
        <v>2.85</v>
      </c>
      <c r="J320" s="2984">
        <v>1.5</v>
      </c>
      <c r="K320" s="2984">
        <v>5.2</v>
      </c>
      <c r="L320" s="2985">
        <v>0.4</v>
      </c>
      <c r="M320" s="2986">
        <v>1.4285714285714284E-2</v>
      </c>
      <c r="N320" s="2987">
        <v>1</v>
      </c>
      <c r="O320" s="471"/>
      <c r="P320" s="2965">
        <v>0.03</v>
      </c>
      <c r="Q320" s="2706" t="s">
        <v>299</v>
      </c>
      <c r="R320" s="2537"/>
      <c r="S320" s="2537"/>
      <c r="T320" s="2537"/>
      <c r="U320" s="2537"/>
      <c r="V320" s="2537"/>
      <c r="W320" s="2537"/>
      <c r="X320" s="2537"/>
      <c r="Y320" s="2537"/>
      <c r="Z320" s="2988" t="s">
        <v>54</v>
      </c>
      <c r="AA320" s="2511"/>
      <c r="AB320" s="2511"/>
      <c r="AC320" s="2511"/>
      <c r="AD320" s="2512"/>
      <c r="AE320" s="2513"/>
    </row>
    <row r="321" spans="2:31">
      <c r="B321" s="4" t="str">
        <f t="shared" si="20"/>
        <v>Milchziegen, 550 kg Jahresmilchleistung</v>
      </c>
      <c r="D321" s="1105">
        <v>1.19</v>
      </c>
      <c r="E321" s="946" t="s">
        <v>1944</v>
      </c>
      <c r="F321" s="978" t="s">
        <v>1937</v>
      </c>
      <c r="G321" s="1666" t="s">
        <v>1331</v>
      </c>
      <c r="H321" s="978">
        <v>6.2</v>
      </c>
      <c r="I321" s="1482">
        <v>7.87</v>
      </c>
      <c r="J321" s="1057">
        <v>3.6</v>
      </c>
      <c r="K321" s="1057">
        <v>15.7</v>
      </c>
      <c r="L321" s="1058">
        <v>0.9</v>
      </c>
      <c r="M321" s="1078">
        <v>8.0952380952380956E-2</v>
      </c>
      <c r="N321" s="2948">
        <v>1</v>
      </c>
      <c r="O321" s="1091" t="s">
        <v>1924</v>
      </c>
      <c r="P321" s="599">
        <v>0.2</v>
      </c>
      <c r="Q321" s="2942" t="s">
        <v>314</v>
      </c>
      <c r="R321" s="306"/>
      <c r="S321" s="306"/>
      <c r="T321" s="306"/>
      <c r="U321" s="306"/>
      <c r="V321" s="306"/>
      <c r="W321" s="306"/>
      <c r="X321" s="306"/>
      <c r="Y321" s="306"/>
      <c r="Z321" s="1469"/>
      <c r="AA321" s="2511"/>
      <c r="AB321" s="2511"/>
      <c r="AC321" s="2511"/>
      <c r="AD321" s="2512"/>
      <c r="AE321" s="2513"/>
    </row>
    <row r="322" spans="2:31">
      <c r="B322" s="4" t="str">
        <f t="shared" si="20"/>
        <v>andere Ziegen über 365 Tage alt (Pl.)</v>
      </c>
      <c r="D322" s="1105">
        <v>1.19</v>
      </c>
      <c r="E322" s="946" t="s">
        <v>1345</v>
      </c>
      <c r="F322" s="978" t="s">
        <v>1925</v>
      </c>
      <c r="G322" s="1666" t="s">
        <v>1331</v>
      </c>
      <c r="H322" s="978">
        <v>5.7</v>
      </c>
      <c r="I322" s="1482">
        <v>6.96</v>
      </c>
      <c r="J322" s="1057">
        <v>3.3</v>
      </c>
      <c r="K322" s="1057">
        <v>14.5</v>
      </c>
      <c r="L322" s="1058">
        <v>0.8</v>
      </c>
      <c r="M322" s="1067">
        <v>8.0952380952380956E-2</v>
      </c>
      <c r="N322" s="2948">
        <v>1</v>
      </c>
      <c r="O322" s="1091" t="s">
        <v>1926</v>
      </c>
      <c r="P322" s="599">
        <v>0.17</v>
      </c>
      <c r="Q322" s="664" t="s">
        <v>299</v>
      </c>
      <c r="R322" s="306"/>
      <c r="S322" s="306"/>
      <c r="T322" s="306"/>
      <c r="U322" s="306"/>
      <c r="V322" s="306"/>
      <c r="W322" s="306"/>
      <c r="X322" s="306"/>
      <c r="Y322" s="306"/>
      <c r="Z322" s="1469" t="s">
        <v>54</v>
      </c>
      <c r="AA322" s="2511"/>
      <c r="AB322" s="2511"/>
      <c r="AC322" s="2511"/>
      <c r="AD322" s="2512"/>
      <c r="AE322" s="2513"/>
    </row>
    <row r="323" spans="2:31">
      <c r="B323" s="4" t="str">
        <f t="shared" si="20"/>
        <v>Jungziegen über 180 bis 365 Tage alt (Pl.)</v>
      </c>
      <c r="D323" s="1105">
        <v>1.19</v>
      </c>
      <c r="E323" s="949" t="s">
        <v>1945</v>
      </c>
      <c r="F323" s="979" t="s">
        <v>1927</v>
      </c>
      <c r="G323" s="1668" t="s">
        <v>1331</v>
      </c>
      <c r="H323" s="979">
        <v>3.5</v>
      </c>
      <c r="I323" s="1479">
        <f>ROUND(7.7*0.85,2)</f>
        <v>6.55</v>
      </c>
      <c r="J323" s="1061">
        <v>3.3</v>
      </c>
      <c r="K323" s="1061">
        <v>12.1</v>
      </c>
      <c r="L323" s="1062">
        <v>0.8</v>
      </c>
      <c r="M323" s="1067">
        <v>8.0952380952380956E-2</v>
      </c>
      <c r="N323" s="2953">
        <v>1</v>
      </c>
      <c r="O323" s="2825" t="s">
        <v>1926</v>
      </c>
      <c r="P323" s="599">
        <v>0.06</v>
      </c>
      <c r="Q323" s="2824" t="s">
        <v>299</v>
      </c>
      <c r="R323" s="306"/>
      <c r="S323" s="306"/>
      <c r="T323" s="306"/>
      <c r="U323" s="306"/>
      <c r="V323" s="306"/>
      <c r="W323" s="306"/>
      <c r="X323" s="306"/>
      <c r="Y323" s="306"/>
      <c r="Z323" s="1469"/>
      <c r="AA323" s="2511"/>
      <c r="AB323" s="2511"/>
      <c r="AC323" s="2511"/>
      <c r="AD323" s="2512"/>
      <c r="AE323" s="2513"/>
    </row>
    <row r="324" spans="2:31">
      <c r="B324" s="4" t="str">
        <f t="shared" si="20"/>
        <v>Zicklein bis 180 Tage alt aus Milchziegenherde (Pl.)</v>
      </c>
      <c r="D324" s="1105">
        <v>1.19</v>
      </c>
      <c r="E324" s="949" t="s">
        <v>1946</v>
      </c>
      <c r="F324" s="979" t="s">
        <v>1929</v>
      </c>
      <c r="G324" s="1668" t="s">
        <v>1331</v>
      </c>
      <c r="H324" s="979">
        <v>0.7</v>
      </c>
      <c r="I324" s="1479">
        <v>2.4900000000000002</v>
      </c>
      <c r="J324" s="1061">
        <v>1</v>
      </c>
      <c r="K324" s="1061">
        <v>3.6</v>
      </c>
      <c r="L324" s="1062">
        <v>0.2</v>
      </c>
      <c r="M324" s="2367">
        <v>1.4285714285714284E-2</v>
      </c>
      <c r="N324" s="2953">
        <v>1</v>
      </c>
      <c r="O324" s="2825" t="s">
        <v>1926</v>
      </c>
      <c r="P324" s="599">
        <v>0.03</v>
      </c>
      <c r="Q324" s="2824" t="s">
        <v>299</v>
      </c>
      <c r="R324" s="306"/>
      <c r="S324" s="306"/>
      <c r="T324" s="306"/>
      <c r="U324" s="306"/>
      <c r="V324" s="306"/>
      <c r="W324" s="306"/>
      <c r="X324" s="306"/>
      <c r="Y324" s="306"/>
      <c r="Z324" s="1469"/>
      <c r="AA324" s="2511"/>
      <c r="AB324" s="2511"/>
      <c r="AC324" s="2511"/>
      <c r="AD324" s="2512"/>
      <c r="AE324" s="2513"/>
    </row>
    <row r="325" spans="2:31">
      <c r="B325" s="4" t="str">
        <f t="shared" si="20"/>
        <v>Zicklein bis 180 Tage alt aus Mutterziegenherde (Pl.)</v>
      </c>
      <c r="D325" s="1105">
        <v>1.19</v>
      </c>
      <c r="E325" s="949" t="s">
        <v>1947</v>
      </c>
      <c r="F325" s="979" t="s">
        <v>1928</v>
      </c>
      <c r="G325" s="1668" t="s">
        <v>1331</v>
      </c>
      <c r="H325" s="979">
        <v>1.7</v>
      </c>
      <c r="I325" s="1479">
        <v>4.7</v>
      </c>
      <c r="J325" s="1061">
        <v>1.9</v>
      </c>
      <c r="K325" s="1061">
        <v>3.8</v>
      </c>
      <c r="L325" s="1062">
        <v>0.4</v>
      </c>
      <c r="M325" s="2367">
        <v>1.4285714285714284E-2</v>
      </c>
      <c r="N325" s="2953">
        <v>1</v>
      </c>
      <c r="O325" s="2978" t="s">
        <v>1926</v>
      </c>
      <c r="P325" s="2965">
        <v>0.03</v>
      </c>
      <c r="Q325" s="2706" t="s">
        <v>299</v>
      </c>
      <c r="R325" s="306"/>
      <c r="S325" s="306"/>
      <c r="T325" s="306"/>
      <c r="U325" s="306"/>
      <c r="V325" s="306"/>
      <c r="W325" s="306"/>
      <c r="X325" s="306"/>
      <c r="Y325" s="306"/>
      <c r="Z325" s="1469"/>
      <c r="AA325" s="2511"/>
      <c r="AB325" s="2511"/>
      <c r="AC325" s="2511"/>
      <c r="AD325" s="2512"/>
      <c r="AE325" s="2513"/>
    </row>
    <row r="326" spans="2:31">
      <c r="B326" s="4" t="str">
        <f t="shared" si="20"/>
        <v>Bisons bis 900 d</v>
      </c>
      <c r="D326" s="1105"/>
      <c r="E326" s="942" t="s">
        <v>1346</v>
      </c>
      <c r="F326" s="971" t="s">
        <v>1877</v>
      </c>
      <c r="G326" s="1662" t="s">
        <v>672</v>
      </c>
      <c r="H326" s="971">
        <v>18</v>
      </c>
      <c r="I326" s="1478">
        <f>ROUND(20*0.85,2)</f>
        <v>17</v>
      </c>
      <c r="J326" s="1055">
        <v>10</v>
      </c>
      <c r="K326" s="1055">
        <v>45</v>
      </c>
      <c r="L326" s="1056">
        <v>2.5</v>
      </c>
      <c r="M326" s="2502">
        <v>0.2639751552795031</v>
      </c>
      <c r="N326" s="2944">
        <v>1</v>
      </c>
      <c r="O326" s="305"/>
      <c r="P326" s="599">
        <v>0.4</v>
      </c>
      <c r="Q326" s="664" t="s">
        <v>299</v>
      </c>
      <c r="R326" s="306"/>
      <c r="S326" s="306"/>
      <c r="T326" s="306"/>
      <c r="U326" s="306"/>
      <c r="V326" s="306"/>
      <c r="W326" s="306"/>
      <c r="X326" s="306"/>
      <c r="Y326" s="306"/>
      <c r="Z326" s="1469" t="s">
        <v>54</v>
      </c>
      <c r="AA326" s="2511"/>
      <c r="AB326" s="2511"/>
      <c r="AC326" s="2511"/>
      <c r="AD326" s="2512"/>
      <c r="AE326" s="2513"/>
    </row>
    <row r="327" spans="2:31">
      <c r="B327" s="4" t="str">
        <f t="shared" si="20"/>
        <v>Bisons &gt; 900 d</v>
      </c>
      <c r="D327" s="1105"/>
      <c r="E327" s="946" t="s">
        <v>1347</v>
      </c>
      <c r="F327" s="978" t="s">
        <v>1538</v>
      </c>
      <c r="G327" s="1666" t="s">
        <v>672</v>
      </c>
      <c r="H327" s="978">
        <v>39</v>
      </c>
      <c r="I327" s="1482">
        <f>ROUND(60*0.85,2)</f>
        <v>51</v>
      </c>
      <c r="J327" s="1057">
        <v>30</v>
      </c>
      <c r="K327" s="1057">
        <v>110</v>
      </c>
      <c r="L327" s="1058">
        <v>6</v>
      </c>
      <c r="M327" s="1067">
        <v>0.7919254658385092</v>
      </c>
      <c r="N327" s="2948">
        <v>1</v>
      </c>
      <c r="O327" s="305"/>
      <c r="P327" s="599">
        <v>1</v>
      </c>
      <c r="Q327" s="664" t="s">
        <v>299</v>
      </c>
      <c r="R327" s="306"/>
      <c r="S327" s="306"/>
      <c r="T327" s="306"/>
      <c r="U327" s="306"/>
      <c r="V327" s="306"/>
      <c r="W327" s="306"/>
      <c r="X327" s="306"/>
      <c r="Y327" s="306"/>
      <c r="Z327" s="1469" t="s">
        <v>54</v>
      </c>
      <c r="AA327" s="2511"/>
      <c r="AB327" s="2511"/>
      <c r="AC327" s="2511"/>
      <c r="AD327" s="2512"/>
      <c r="AE327" s="2513"/>
    </row>
    <row r="328" spans="2:31">
      <c r="B328" s="4" t="str">
        <f t="shared" si="20"/>
        <v>Lamas bis 2-jährig</v>
      </c>
      <c r="D328" s="1105"/>
      <c r="E328" s="946" t="s">
        <v>1348</v>
      </c>
      <c r="F328" s="978" t="s">
        <v>1878</v>
      </c>
      <c r="G328" s="1666" t="s">
        <v>672</v>
      </c>
      <c r="H328" s="978">
        <v>4.9000000000000004</v>
      </c>
      <c r="I328" s="1482">
        <f>ROUND(11*0.85,2)</f>
        <v>9.35</v>
      </c>
      <c r="J328" s="1057">
        <v>4</v>
      </c>
      <c r="K328" s="1057">
        <v>15</v>
      </c>
      <c r="L328" s="1058">
        <v>1</v>
      </c>
      <c r="M328" s="1067">
        <v>0.10559006211180123</v>
      </c>
      <c r="N328" s="2948">
        <v>1</v>
      </c>
      <c r="O328" s="305"/>
      <c r="P328" s="599">
        <v>0.11</v>
      </c>
      <c r="Q328" s="664" t="s">
        <v>299</v>
      </c>
      <c r="R328" s="306"/>
      <c r="S328" s="306"/>
      <c r="T328" s="306"/>
      <c r="U328" s="306"/>
      <c r="V328" s="306"/>
      <c r="W328" s="306"/>
      <c r="X328" s="306"/>
      <c r="Y328" s="306"/>
      <c r="Z328" s="1469" t="s">
        <v>54</v>
      </c>
      <c r="AA328" s="2511"/>
      <c r="AB328" s="2511"/>
      <c r="AC328" s="2511"/>
      <c r="AD328" s="2512"/>
      <c r="AE328" s="2513"/>
    </row>
    <row r="329" spans="2:31">
      <c r="B329" s="4" t="str">
        <f t="shared" si="20"/>
        <v>Lamas über 2-jährig</v>
      </c>
      <c r="D329" s="1105"/>
      <c r="E329" s="946" t="s">
        <v>1349</v>
      </c>
      <c r="F329" s="978" t="s">
        <v>1350</v>
      </c>
      <c r="G329" s="1666" t="s">
        <v>672</v>
      </c>
      <c r="H329" s="978">
        <v>8.5</v>
      </c>
      <c r="I329" s="1482">
        <f>ROUND(17*0.85,2)</f>
        <v>14.45</v>
      </c>
      <c r="J329" s="1057">
        <v>6.5</v>
      </c>
      <c r="K329" s="1057">
        <v>28</v>
      </c>
      <c r="L329" s="1058">
        <v>1.7</v>
      </c>
      <c r="M329" s="1067">
        <v>0.171583850931677</v>
      </c>
      <c r="N329" s="2948">
        <v>1</v>
      </c>
      <c r="O329" s="305"/>
      <c r="P329" s="599">
        <v>0.17</v>
      </c>
      <c r="Q329" s="664" t="s">
        <v>299</v>
      </c>
      <c r="R329" s="306"/>
      <c r="S329" s="306"/>
      <c r="T329" s="306"/>
      <c r="U329" s="306"/>
      <c r="V329" s="306"/>
      <c r="W329" s="306"/>
      <c r="X329" s="306"/>
      <c r="Y329" s="306"/>
      <c r="Z329" s="1469" t="s">
        <v>54</v>
      </c>
      <c r="AA329" s="2511"/>
      <c r="AB329" s="2511"/>
      <c r="AC329" s="2511"/>
      <c r="AD329" s="2512"/>
      <c r="AE329" s="2513"/>
    </row>
    <row r="330" spans="2:31">
      <c r="B330" s="4" t="str">
        <f t="shared" si="20"/>
        <v>Alpakas bis 2-jährig</v>
      </c>
      <c r="D330" s="1105"/>
      <c r="E330" s="946" t="s">
        <v>1351</v>
      </c>
      <c r="F330" s="978" t="s">
        <v>1879</v>
      </c>
      <c r="G330" s="1666" t="s">
        <v>672</v>
      </c>
      <c r="H330" s="978">
        <v>3</v>
      </c>
      <c r="I330" s="1482">
        <f>ROUND(7*0.85,2)</f>
        <v>5.95</v>
      </c>
      <c r="J330" s="1057">
        <v>2.5</v>
      </c>
      <c r="K330" s="1057">
        <v>9</v>
      </c>
      <c r="L330" s="1058">
        <v>0.5</v>
      </c>
      <c r="M330" s="1078">
        <v>6.5993788819875776E-2</v>
      </c>
      <c r="N330" s="2948">
        <v>1</v>
      </c>
      <c r="O330" s="305"/>
      <c r="P330" s="599">
        <v>7.0000000000000007E-2</v>
      </c>
      <c r="Q330" s="664" t="s">
        <v>299</v>
      </c>
      <c r="R330" s="306"/>
      <c r="S330" s="306"/>
      <c r="T330" s="306"/>
      <c r="U330" s="306"/>
      <c r="V330" s="306"/>
      <c r="W330" s="306"/>
      <c r="X330" s="306"/>
      <c r="Y330" s="306"/>
      <c r="Z330" s="1469" t="s">
        <v>54</v>
      </c>
      <c r="AA330" s="2511"/>
      <c r="AB330" s="2511"/>
      <c r="AC330" s="2511"/>
      <c r="AD330" s="2512"/>
      <c r="AE330" s="2513"/>
    </row>
    <row r="331" spans="2:31">
      <c r="B331" s="4" t="str">
        <f t="shared" si="20"/>
        <v>Alpakas über 2-jährig</v>
      </c>
      <c r="D331" s="1105"/>
      <c r="E331" s="946" t="s">
        <v>1352</v>
      </c>
      <c r="F331" s="978" t="s">
        <v>1353</v>
      </c>
      <c r="G331" s="1666" t="s">
        <v>672</v>
      </c>
      <c r="H331" s="978">
        <v>5.5</v>
      </c>
      <c r="I331" s="1482">
        <f>ROUND(11*0.85,2)</f>
        <v>9.35</v>
      </c>
      <c r="J331" s="1057">
        <v>4</v>
      </c>
      <c r="K331" s="1057">
        <v>18</v>
      </c>
      <c r="L331" s="1058">
        <v>1</v>
      </c>
      <c r="M331" s="1067">
        <v>0.10559006211180123</v>
      </c>
      <c r="N331" s="2948">
        <v>1</v>
      </c>
      <c r="O331" s="305"/>
      <c r="P331" s="599">
        <v>0.11</v>
      </c>
      <c r="Q331" s="664" t="s">
        <v>299</v>
      </c>
      <c r="R331" s="306"/>
      <c r="S331" s="306"/>
      <c r="T331" s="306"/>
      <c r="U331" s="306"/>
      <c r="V331" s="306"/>
      <c r="W331" s="306"/>
      <c r="X331" s="306"/>
      <c r="Y331" s="306"/>
      <c r="Z331" s="1469" t="s">
        <v>54</v>
      </c>
      <c r="AA331" s="2511"/>
      <c r="AB331" s="2511"/>
      <c r="AC331" s="2511"/>
      <c r="AD331" s="2512"/>
      <c r="AE331" s="2513"/>
    </row>
    <row r="332" spans="2:31">
      <c r="B332" s="4" t="str">
        <f t="shared" si="20"/>
        <v xml:space="preserve">Damhirsche (Einh.), Muttertier + Nachwuchs bis 16 Mt.= 1 Einheit = 2 Tiere am Stichtag </v>
      </c>
      <c r="D332" s="1105"/>
      <c r="E332" s="946" t="s">
        <v>1354</v>
      </c>
      <c r="F332" s="978" t="s">
        <v>1774</v>
      </c>
      <c r="G332" s="1666" t="s">
        <v>882</v>
      </c>
      <c r="H332" s="978">
        <v>10</v>
      </c>
      <c r="I332" s="1482">
        <f>ROUND(20*0.85,2)</f>
        <v>17</v>
      </c>
      <c r="J332" s="1057">
        <v>7</v>
      </c>
      <c r="K332" s="1057">
        <v>29</v>
      </c>
      <c r="L332" s="1058">
        <v>2.4</v>
      </c>
      <c r="M332" s="1067">
        <v>0.18478260869565216</v>
      </c>
      <c r="N332" s="2948">
        <v>1</v>
      </c>
      <c r="O332" s="305"/>
      <c r="P332" s="599">
        <v>0.2</v>
      </c>
      <c r="Q332" s="664" t="s">
        <v>299</v>
      </c>
      <c r="R332" s="306"/>
      <c r="S332" s="306"/>
      <c r="T332" s="306"/>
      <c r="U332" s="306"/>
      <c r="V332" s="306"/>
      <c r="W332" s="306"/>
      <c r="X332" s="306"/>
      <c r="Y332" s="306"/>
      <c r="Z332" s="1469" t="s">
        <v>54</v>
      </c>
      <c r="AA332" s="2511"/>
      <c r="AB332" s="2511"/>
      <c r="AC332" s="2511"/>
      <c r="AD332" s="2512"/>
      <c r="AE332" s="2513"/>
    </row>
    <row r="333" spans="2:31">
      <c r="B333" s="4" t="str">
        <f t="shared" si="20"/>
        <v xml:space="preserve">Rothirsche (Einh.), Muttertier + Nachwuchs bis 16 Mt. = 1 Einheit = 2 Tiere am Stichtag </v>
      </c>
      <c r="D333" s="1105"/>
      <c r="E333" s="946" t="s">
        <v>1355</v>
      </c>
      <c r="F333" s="978" t="s">
        <v>1775</v>
      </c>
      <c r="G333" s="1666" t="s">
        <v>882</v>
      </c>
      <c r="H333" s="978">
        <v>20</v>
      </c>
      <c r="I333" s="1482">
        <f>ROUND(40*0.85,2)</f>
        <v>34</v>
      </c>
      <c r="J333" s="1057">
        <v>14</v>
      </c>
      <c r="K333" s="1057">
        <v>58</v>
      </c>
      <c r="L333" s="1058">
        <v>4.8</v>
      </c>
      <c r="M333" s="1067">
        <v>0.36956521739130432</v>
      </c>
      <c r="N333" s="2948">
        <v>1</v>
      </c>
      <c r="O333" s="305"/>
      <c r="P333" s="599">
        <v>0.4</v>
      </c>
      <c r="Q333" s="664" t="s">
        <v>299</v>
      </c>
      <c r="R333" s="355" t="s">
        <v>2103</v>
      </c>
      <c r="S333" s="306"/>
      <c r="T333" s="306"/>
      <c r="U333" s="306"/>
      <c r="V333" s="306"/>
      <c r="W333" s="306"/>
      <c r="X333" s="306"/>
      <c r="Y333" s="306"/>
      <c r="Z333" s="1681" t="s">
        <v>1781</v>
      </c>
      <c r="AA333" s="2511"/>
      <c r="AB333" s="2511"/>
      <c r="AC333" s="2511"/>
      <c r="AD333" s="2512"/>
      <c r="AE333" s="2513"/>
    </row>
    <row r="334" spans="2:31" ht="13.5" thickBot="1">
      <c r="B334" s="4" t="str">
        <f t="shared" ref="B334:B367" si="22">F334</f>
        <v xml:space="preserve">Wapiti (Einh.), Muttertier + Nachwuchs bis 16 Mt. = 1 Einheit = 2 Tiere am Stichtag </v>
      </c>
      <c r="D334" s="1105"/>
      <c r="E334" s="946" t="s">
        <v>1290</v>
      </c>
      <c r="F334" s="978" t="s">
        <v>1291</v>
      </c>
      <c r="G334" s="1666" t="s">
        <v>882</v>
      </c>
      <c r="H334" s="978">
        <v>40</v>
      </c>
      <c r="I334" s="1482">
        <f>ROUND(80*0.85,2)</f>
        <v>68</v>
      </c>
      <c r="J334" s="1057">
        <v>28</v>
      </c>
      <c r="K334" s="1057">
        <v>116</v>
      </c>
      <c r="L334" s="1058">
        <v>9.6</v>
      </c>
      <c r="M334" s="1067">
        <v>0.73913043478260865</v>
      </c>
      <c r="N334" s="2948">
        <v>1</v>
      </c>
      <c r="O334" s="305"/>
      <c r="P334" s="599">
        <v>0.4</v>
      </c>
      <c r="Q334" s="664" t="s">
        <v>299</v>
      </c>
      <c r="R334" s="3479" t="s">
        <v>1094</v>
      </c>
      <c r="S334" s="3482"/>
      <c r="T334" s="3480"/>
      <c r="U334" s="3479" t="s">
        <v>89</v>
      </c>
      <c r="V334" s="3480"/>
      <c r="W334" s="3479" t="s">
        <v>90</v>
      </c>
      <c r="X334" s="3480"/>
      <c r="Y334" s="306"/>
      <c r="Z334" s="1469"/>
      <c r="AA334" s="2511"/>
      <c r="AB334" s="2511"/>
      <c r="AC334" s="2511"/>
      <c r="AD334" s="2512"/>
      <c r="AE334" s="2513"/>
    </row>
    <row r="335" spans="2:31" ht="13.5" thickBot="1">
      <c r="B335" s="4" t="s">
        <v>1430</v>
      </c>
      <c r="D335" s="1105"/>
      <c r="E335" s="535" t="s">
        <v>608</v>
      </c>
      <c r="F335" s="975"/>
      <c r="G335" s="1071" t="str">
        <f t="shared" ref="G335:L335" si="23">G286</f>
        <v>Einheit</v>
      </c>
      <c r="H335" s="1072" t="str">
        <f t="shared" si="23"/>
        <v>GF-Verz.</v>
      </c>
      <c r="I335" s="1485" t="str">
        <f t="shared" si="23"/>
        <v>N ges</v>
      </c>
      <c r="J335" s="1073" t="str">
        <f t="shared" si="23"/>
        <v>P2O5</v>
      </c>
      <c r="K335" s="1073" t="str">
        <f t="shared" si="23"/>
        <v>K2O</v>
      </c>
      <c r="L335" s="1074" t="str">
        <f t="shared" si="23"/>
        <v>Mg</v>
      </c>
      <c r="M335" s="2728" t="str">
        <f>M286&amp;M287</f>
        <v>Hofdü.Faktor</v>
      </c>
      <c r="N335" s="2729" t="str">
        <f>N286&amp;N287</f>
        <v>Weide-Faktor</v>
      </c>
      <c r="O335" s="2714"/>
      <c r="P335" s="1431"/>
      <c r="Q335" s="1430"/>
      <c r="R335" s="698" t="s">
        <v>1090</v>
      </c>
      <c r="S335" s="676" t="s">
        <v>1091</v>
      </c>
      <c r="T335" s="677" t="s">
        <v>659</v>
      </c>
      <c r="U335" s="698" t="s">
        <v>61</v>
      </c>
      <c r="V335" s="678" t="s">
        <v>659</v>
      </c>
      <c r="W335" s="664" t="s">
        <v>888</v>
      </c>
      <c r="X335" s="678" t="s">
        <v>890</v>
      </c>
      <c r="Y335" s="306"/>
      <c r="Z335" s="1469"/>
    </row>
    <row r="336" spans="2:31">
      <c r="B336" s="4" t="str">
        <f t="shared" si="22"/>
        <v xml:space="preserve"> -</v>
      </c>
      <c r="C336" s="2569" t="s">
        <v>149</v>
      </c>
      <c r="D336" s="668"/>
      <c r="E336" s="955">
        <v>0</v>
      </c>
      <c r="F336" s="984" t="s">
        <v>945</v>
      </c>
      <c r="G336" s="1672"/>
      <c r="H336" s="984"/>
      <c r="I336" s="1486"/>
      <c r="J336" s="1075"/>
      <c r="K336" s="1075"/>
      <c r="L336" s="1076"/>
      <c r="M336" s="1077"/>
      <c r="N336" s="2954"/>
      <c r="O336" s="701"/>
      <c r="P336" s="599"/>
      <c r="Q336" s="702"/>
      <c r="R336" s="547"/>
      <c r="S336" s="673"/>
      <c r="T336" s="548"/>
      <c r="U336" s="546"/>
      <c r="V336" s="674"/>
      <c r="W336" s="546"/>
      <c r="X336" s="674"/>
      <c r="Y336" s="306"/>
      <c r="Z336" s="1469"/>
      <c r="AA336" s="2518"/>
      <c r="AB336" s="2518"/>
      <c r="AC336" s="1087"/>
      <c r="AD336" s="1087"/>
      <c r="AE336" s="1087"/>
    </row>
    <row r="337" spans="2:31">
      <c r="B337" s="4" t="str">
        <f t="shared" si="22"/>
        <v>Mastschweine (Pl.), 26-108 kg / Remonten</v>
      </c>
      <c r="D337" s="1105">
        <v>1.1499999999999999</v>
      </c>
      <c r="E337" s="946" t="s">
        <v>1356</v>
      </c>
      <c r="F337" s="978" t="s">
        <v>1645</v>
      </c>
      <c r="G337" s="1666" t="s">
        <v>1331</v>
      </c>
      <c r="H337" s="2570"/>
      <c r="I337" s="1482">
        <f>ROUND(13*0.8,2)</f>
        <v>10.4</v>
      </c>
      <c r="J337" s="1057">
        <v>5.3</v>
      </c>
      <c r="K337" s="1057">
        <v>5.8</v>
      </c>
      <c r="L337" s="1058">
        <v>1.4</v>
      </c>
      <c r="M337" s="1067">
        <v>0.16666666666666666</v>
      </c>
      <c r="N337" s="2948">
        <v>1</v>
      </c>
      <c r="O337" s="701"/>
      <c r="P337" s="599">
        <v>0.17</v>
      </c>
      <c r="Q337" s="703"/>
      <c r="R337" s="664">
        <v>14</v>
      </c>
      <c r="S337" s="676">
        <v>170</v>
      </c>
      <c r="T337" s="677">
        <v>5.2</v>
      </c>
      <c r="U337" s="679">
        <v>7.1999999999999998E-3</v>
      </c>
      <c r="V337" s="680">
        <v>0.24</v>
      </c>
      <c r="W337" s="664">
        <v>7.76</v>
      </c>
      <c r="X337" s="678">
        <v>3.8</v>
      </c>
      <c r="Y337" s="306"/>
      <c r="Z337" s="1469"/>
      <c r="AA337" s="2514"/>
      <c r="AB337" s="2514"/>
      <c r="AC337" s="2514"/>
      <c r="AD337" s="2515"/>
      <c r="AE337" s="2516"/>
    </row>
    <row r="338" spans="2:31">
      <c r="B338" s="4" t="str">
        <f t="shared" si="22"/>
        <v>Mastschwein / Remonte (St.), 26-108 kg</v>
      </c>
      <c r="D338" s="1105">
        <v>1.1499999999999999</v>
      </c>
      <c r="E338" s="946" t="s">
        <v>1358</v>
      </c>
      <c r="F338" s="978" t="s">
        <v>1646</v>
      </c>
      <c r="G338" s="1666" t="s">
        <v>672</v>
      </c>
      <c r="H338" s="2570"/>
      <c r="I338" s="1482">
        <f>ROUND(3.92*0.8,2)</f>
        <v>3.14</v>
      </c>
      <c r="J338" s="1057">
        <v>1.6</v>
      </c>
      <c r="K338" s="1057">
        <v>1.75</v>
      </c>
      <c r="L338" s="1058">
        <v>0.42</v>
      </c>
      <c r="M338" s="1078">
        <v>5.1204819277108439E-2</v>
      </c>
      <c r="N338" s="2948">
        <v>1</v>
      </c>
      <c r="O338" s="701"/>
      <c r="P338" s="1433">
        <f>0.17/3</f>
        <v>5.6666666666666671E-2</v>
      </c>
      <c r="Q338" s="703"/>
      <c r="R338" s="664">
        <v>14</v>
      </c>
      <c r="S338" s="676">
        <v>170</v>
      </c>
      <c r="T338" s="677">
        <v>5.2</v>
      </c>
      <c r="U338" s="679">
        <v>7.1999999999999998E-3</v>
      </c>
      <c r="V338" s="680">
        <v>0.24</v>
      </c>
      <c r="W338" s="664">
        <v>2.35</v>
      </c>
      <c r="X338" s="681">
        <v>1.1399999999999999</v>
      </c>
      <c r="Y338" s="306"/>
      <c r="Z338" s="1469"/>
      <c r="AA338" s="2514"/>
      <c r="AB338" s="2514"/>
      <c r="AC338" s="2514"/>
      <c r="AD338" s="2515"/>
      <c r="AE338" s="2516"/>
    </row>
    <row r="339" spans="2:31" ht="13.5">
      <c r="B339" s="4" t="str">
        <f t="shared" si="22"/>
        <v>GF-Verz. Mastschw. dt TS total</v>
      </c>
      <c r="D339" s="1105"/>
      <c r="E339" s="2564" t="s">
        <v>1824</v>
      </c>
      <c r="F339" s="2562" t="s">
        <v>1825</v>
      </c>
      <c r="G339" s="2565" t="s">
        <v>165</v>
      </c>
      <c r="H339" s="2562">
        <v>1</v>
      </c>
      <c r="I339" s="2566"/>
      <c r="J339" s="2563"/>
      <c r="K339" s="2563"/>
      <c r="L339" s="2567"/>
      <c r="M339" s="2568"/>
      <c r="N339" s="2955"/>
      <c r="O339" s="3121" t="s">
        <v>1865</v>
      </c>
      <c r="P339" s="2702"/>
      <c r="Q339" s="2703" t="s">
        <v>163</v>
      </c>
      <c r="R339" s="664"/>
      <c r="S339" s="676"/>
      <c r="T339" s="677"/>
      <c r="U339" s="679"/>
      <c r="V339" s="680"/>
      <c r="W339" s="664"/>
      <c r="X339" s="681"/>
      <c r="Y339" s="306"/>
      <c r="Z339" s="1469"/>
      <c r="AA339" s="2514"/>
      <c r="AB339" s="2514"/>
      <c r="AC339" s="2514"/>
      <c r="AD339" s="2515"/>
      <c r="AE339" s="2516"/>
    </row>
    <row r="340" spans="2:31" ht="13.5">
      <c r="B340" s="4" t="str">
        <f t="shared" si="22"/>
        <v>Zuchtschweine inkl. Ferkel bis 26 kg</v>
      </c>
      <c r="D340" s="1105">
        <v>1.1499999999999999</v>
      </c>
      <c r="E340" s="946" t="s">
        <v>1359</v>
      </c>
      <c r="F340" s="978" t="s">
        <v>1647</v>
      </c>
      <c r="G340" s="1666" t="s">
        <v>1331</v>
      </c>
      <c r="H340" s="2570"/>
      <c r="I340" s="1482">
        <f>ROUND(44*0.8,2)</f>
        <v>35.200000000000003</v>
      </c>
      <c r="J340" s="1057">
        <v>21</v>
      </c>
      <c r="K340" s="1057">
        <v>23</v>
      </c>
      <c r="L340" s="1058">
        <v>4.2</v>
      </c>
      <c r="M340" s="1067">
        <v>0.78100000000000003</v>
      </c>
      <c r="N340" s="2948">
        <v>1</v>
      </c>
      <c r="O340" s="3122" t="s">
        <v>1776</v>
      </c>
      <c r="P340" s="2991">
        <f>(P344+P346)*365/(37+124)</f>
        <v>0.32664596273291929</v>
      </c>
      <c r="Q340" s="1428" t="s">
        <v>163</v>
      </c>
      <c r="R340" s="664">
        <v>13.2</v>
      </c>
      <c r="S340" s="676">
        <v>173</v>
      </c>
      <c r="T340" s="677">
        <v>5.8</v>
      </c>
      <c r="U340" s="679">
        <v>6.4000000000000003E-3</v>
      </c>
      <c r="V340" s="680">
        <v>0.192</v>
      </c>
      <c r="W340" s="664">
        <v>27.92</v>
      </c>
      <c r="X340" s="678">
        <v>15.2</v>
      </c>
      <c r="Y340" s="306"/>
      <c r="Z340" s="1469"/>
      <c r="AA340" s="2514"/>
      <c r="AB340" s="2514"/>
      <c r="AC340" s="2514"/>
      <c r="AD340" s="2515"/>
      <c r="AE340" s="2516"/>
    </row>
    <row r="341" spans="2:31" ht="13.5">
      <c r="B341" s="4" t="str">
        <f t="shared" si="22"/>
        <v>GF-Verz. Zuchtschw. dt TS total</v>
      </c>
      <c r="D341" s="1105"/>
      <c r="E341" s="2564" t="s">
        <v>1360</v>
      </c>
      <c r="F341" s="2562" t="s">
        <v>1363</v>
      </c>
      <c r="G341" s="2565" t="s">
        <v>165</v>
      </c>
      <c r="H341" s="2562">
        <v>1</v>
      </c>
      <c r="I341" s="2566"/>
      <c r="J341" s="2563"/>
      <c r="K341" s="2563"/>
      <c r="L341" s="2567"/>
      <c r="M341" s="2568"/>
      <c r="N341" s="2955"/>
      <c r="O341" s="3122" t="s">
        <v>564</v>
      </c>
      <c r="P341" s="599"/>
      <c r="Q341" s="1428" t="s">
        <v>163</v>
      </c>
      <c r="R341" s="664" t="s">
        <v>79</v>
      </c>
      <c r="S341" s="676"/>
      <c r="T341" s="677"/>
      <c r="U341" s="679"/>
      <c r="V341" s="680"/>
      <c r="W341" s="664"/>
      <c r="X341" s="678"/>
      <c r="Y341" s="306"/>
      <c r="Z341" s="1469"/>
      <c r="AA341" s="2514"/>
      <c r="AB341" s="2514"/>
      <c r="AC341" s="2514"/>
      <c r="AD341" s="2515"/>
      <c r="AE341" s="2516"/>
    </row>
    <row r="342" spans="2:31" ht="13.5">
      <c r="B342" s="4" t="str">
        <f t="shared" si="22"/>
        <v>Zuchteber (Pl.)</v>
      </c>
      <c r="D342" s="1105">
        <v>1.1499999999999999</v>
      </c>
      <c r="E342" s="943" t="s">
        <v>1368</v>
      </c>
      <c r="F342" s="972" t="s">
        <v>1828</v>
      </c>
      <c r="G342" s="1663" t="s">
        <v>1331</v>
      </c>
      <c r="H342" s="2571"/>
      <c r="I342" s="1480">
        <f>ROUND(18*0.8,2)</f>
        <v>14.4</v>
      </c>
      <c r="J342" s="1079">
        <v>10</v>
      </c>
      <c r="K342" s="1079">
        <v>9.6</v>
      </c>
      <c r="L342" s="1080">
        <v>1.5</v>
      </c>
      <c r="M342" s="2503">
        <v>0.16666666666666666</v>
      </c>
      <c r="N342" s="2946">
        <v>1</v>
      </c>
      <c r="O342" s="1513"/>
      <c r="P342" s="599">
        <v>0.25</v>
      </c>
      <c r="Q342" s="1428" t="s">
        <v>163</v>
      </c>
      <c r="R342" s="664">
        <v>12.9</v>
      </c>
      <c r="S342" s="676">
        <v>171</v>
      </c>
      <c r="T342" s="677">
        <v>5.9</v>
      </c>
      <c r="U342" s="679">
        <v>6.4000000000000003E-3</v>
      </c>
      <c r="V342" s="680">
        <v>0.16</v>
      </c>
      <c r="W342" s="664">
        <v>11.12</v>
      </c>
      <c r="X342" s="678">
        <v>7.4</v>
      </c>
      <c r="Y342" s="306"/>
      <c r="Z342" s="1469"/>
      <c r="AA342" s="2514"/>
      <c r="AB342" s="2514"/>
      <c r="AC342" s="2514"/>
      <c r="AD342" s="2515"/>
      <c r="AE342" s="2516"/>
    </row>
    <row r="343" spans="2:31" ht="13.5">
      <c r="B343" s="4" t="str">
        <f t="shared" si="22"/>
        <v>Galtsauen (Pl.): 2.94 Umtr. pro Jahr</v>
      </c>
      <c r="D343" s="1105">
        <v>1.1499999999999999</v>
      </c>
      <c r="E343" s="946" t="s">
        <v>1364</v>
      </c>
      <c r="F343" s="978" t="s">
        <v>1831</v>
      </c>
      <c r="G343" s="1666" t="s">
        <v>1331</v>
      </c>
      <c r="H343" s="2572"/>
      <c r="I343" s="1482">
        <f>ROUND(24.5*0.8,2)</f>
        <v>19.600000000000001</v>
      </c>
      <c r="J343" s="1057">
        <v>15</v>
      </c>
      <c r="K343" s="1057">
        <v>16</v>
      </c>
      <c r="L343" s="1058">
        <v>2.2999999999999998</v>
      </c>
      <c r="M343" s="1067">
        <v>0.57299999999999995</v>
      </c>
      <c r="N343" s="2948">
        <v>1</v>
      </c>
      <c r="O343" s="3122" t="s">
        <v>1777</v>
      </c>
      <c r="P343" s="599">
        <v>0.26</v>
      </c>
      <c r="Q343" s="1428" t="s">
        <v>163</v>
      </c>
      <c r="R343" s="664">
        <v>12.1</v>
      </c>
      <c r="S343" s="676">
        <v>145</v>
      </c>
      <c r="T343" s="677">
        <v>6</v>
      </c>
      <c r="U343" s="679">
        <v>4.7999999999999996E-3</v>
      </c>
      <c r="V343" s="680">
        <v>0.14399999999999999</v>
      </c>
      <c r="W343" s="664">
        <v>17.28</v>
      </c>
      <c r="X343" s="678">
        <v>10.7</v>
      </c>
      <c r="Y343" s="306"/>
      <c r="Z343" s="1469"/>
      <c r="AA343" s="2514"/>
      <c r="AB343" s="2514"/>
      <c r="AC343" s="2514"/>
      <c r="AD343" s="2515"/>
      <c r="AE343" s="2516"/>
    </row>
    <row r="344" spans="2:31" ht="13.5">
      <c r="B344" s="4" t="str">
        <f t="shared" si="22"/>
        <v>*Galtsau, pro Umtrieb, 124 d pro Umtrieb</v>
      </c>
      <c r="D344" s="1105">
        <v>1.1499999999999999</v>
      </c>
      <c r="E344" s="946" t="s">
        <v>1274</v>
      </c>
      <c r="F344" s="978" t="s">
        <v>1648</v>
      </c>
      <c r="G344" s="1666" t="s">
        <v>672</v>
      </c>
      <c r="H344" s="2572"/>
      <c r="I344" s="1482">
        <f>ROUND(8.33*0.8,2)</f>
        <v>6.66</v>
      </c>
      <c r="J344" s="1057">
        <v>5.0999999999999996</v>
      </c>
      <c r="K344" s="1057">
        <v>5.44</v>
      </c>
      <c r="L344" s="1058">
        <v>0.78</v>
      </c>
      <c r="M344" s="1067">
        <v>0.19466301369863012</v>
      </c>
      <c r="N344" s="2948">
        <v>1</v>
      </c>
      <c r="O344" s="2992" t="s">
        <v>1958</v>
      </c>
      <c r="P344" s="2991">
        <f>P343/365*124</f>
        <v>8.8328767123287674E-2</v>
      </c>
      <c r="Q344" s="1428" t="s">
        <v>163</v>
      </c>
      <c r="R344" s="664">
        <v>12.1</v>
      </c>
      <c r="S344" s="676">
        <v>145</v>
      </c>
      <c r="T344" s="677">
        <v>6</v>
      </c>
      <c r="U344" s="679">
        <v>4.7999999999999996E-3</v>
      </c>
      <c r="V344" s="680">
        <v>0.14399999999999999</v>
      </c>
      <c r="W344" s="664">
        <v>5.86</v>
      </c>
      <c r="X344" s="678">
        <v>3.63</v>
      </c>
      <c r="Y344" s="306"/>
      <c r="Z344" s="1469"/>
      <c r="AA344" s="2514"/>
      <c r="AB344" s="2514"/>
      <c r="AC344" s="2514"/>
      <c r="AD344" s="2515"/>
      <c r="AE344" s="2516"/>
    </row>
    <row r="345" spans="2:31">
      <c r="B345" s="4" t="str">
        <f t="shared" si="22"/>
        <v>Säugende Sauen (Pl.): 9.86 Umtr. pro Jahr</v>
      </c>
      <c r="D345" s="1105">
        <v>1.1499999999999999</v>
      </c>
      <c r="E345" s="946" t="s">
        <v>1273</v>
      </c>
      <c r="F345" s="978" t="s">
        <v>1830</v>
      </c>
      <c r="G345" s="1666" t="s">
        <v>1331</v>
      </c>
      <c r="H345" s="2572"/>
      <c r="I345" s="1482">
        <f>ROUND(49*0.8,2)</f>
        <v>39.200000000000003</v>
      </c>
      <c r="J345" s="1057">
        <v>23</v>
      </c>
      <c r="K345" s="1057">
        <v>18</v>
      </c>
      <c r="L345" s="1058">
        <v>4.4000000000000004</v>
      </c>
      <c r="M345" s="1067">
        <v>0.85399999999999998</v>
      </c>
      <c r="N345" s="2948">
        <v>1</v>
      </c>
      <c r="O345" s="701"/>
      <c r="P345" s="599">
        <v>0.55000000000000004</v>
      </c>
      <c r="Q345" s="703"/>
      <c r="R345" s="664">
        <v>13.7</v>
      </c>
      <c r="S345" s="676">
        <v>180</v>
      </c>
      <c r="T345" s="677">
        <v>6</v>
      </c>
      <c r="U345" s="679">
        <v>6.4000000000000003E-3</v>
      </c>
      <c r="V345" s="680">
        <v>0.184</v>
      </c>
      <c r="W345" s="664">
        <v>30.4</v>
      </c>
      <c r="X345" s="678">
        <v>16.7</v>
      </c>
      <c r="Y345" s="306"/>
      <c r="Z345" s="1469"/>
      <c r="AA345" s="2514"/>
      <c r="AB345" s="2514"/>
      <c r="AC345" s="2514"/>
      <c r="AD345" s="2515"/>
      <c r="AE345" s="2516"/>
    </row>
    <row r="346" spans="2:31" ht="13.5">
      <c r="B346" s="4" t="str">
        <f t="shared" si="22"/>
        <v>*Säugende Zuchtsau, pro Umtrieb, 37 d pro Umtrieb</v>
      </c>
      <c r="D346" s="1105">
        <v>1.1499999999999999</v>
      </c>
      <c r="E346" s="946" t="s">
        <v>1365</v>
      </c>
      <c r="F346" s="978" t="s">
        <v>1649</v>
      </c>
      <c r="G346" s="1666" t="s">
        <v>672</v>
      </c>
      <c r="H346" s="2572"/>
      <c r="I346" s="1482">
        <f>ROUND(4.97*0.8,2)</f>
        <v>3.98</v>
      </c>
      <c r="J346" s="1057">
        <v>2.33</v>
      </c>
      <c r="K346" s="1057">
        <v>1.83</v>
      </c>
      <c r="L346" s="1058">
        <v>0.45</v>
      </c>
      <c r="M346" s="1078">
        <v>8.6569863013698622E-2</v>
      </c>
      <c r="N346" s="2948">
        <v>1</v>
      </c>
      <c r="O346" s="2992" t="s">
        <v>1959</v>
      </c>
      <c r="P346" s="2991">
        <f>P345/365*37</f>
        <v>5.5753424657534245E-2</v>
      </c>
      <c r="Q346" s="703"/>
      <c r="R346" s="664">
        <v>13.7</v>
      </c>
      <c r="S346" s="676">
        <v>180</v>
      </c>
      <c r="T346" s="677">
        <v>6</v>
      </c>
      <c r="U346" s="679">
        <v>6.4000000000000003E-3</v>
      </c>
      <c r="V346" s="680">
        <v>0.184</v>
      </c>
      <c r="W346" s="664">
        <v>3.09</v>
      </c>
      <c r="X346" s="678">
        <v>1.69</v>
      </c>
      <c r="Y346" s="306"/>
      <c r="Z346" s="1469"/>
      <c r="AA346" s="2514"/>
      <c r="AB346" s="2514"/>
      <c r="AC346" s="2514"/>
      <c r="AD346" s="2515"/>
      <c r="AE346" s="2516"/>
    </row>
    <row r="347" spans="2:31">
      <c r="B347" s="4" t="str">
        <f t="shared" si="22"/>
        <v>abgesetzte Ferkel (Pl.), Zuw. 8-26 kg LG</v>
      </c>
      <c r="D347" s="1105">
        <v>1.1499999999999999</v>
      </c>
      <c r="E347" s="946" t="s">
        <v>1366</v>
      </c>
      <c r="F347" s="978" t="s">
        <v>1650</v>
      </c>
      <c r="G347" s="1666" t="s">
        <v>1331</v>
      </c>
      <c r="H347" s="978">
        <v>0</v>
      </c>
      <c r="I347" s="1482">
        <f>ROUND(3.9*0.8,2)</f>
        <v>3.12</v>
      </c>
      <c r="J347" s="1057">
        <v>1.68</v>
      </c>
      <c r="K347" s="1057">
        <v>2.2999999999999998</v>
      </c>
      <c r="L347" s="1058">
        <v>0.5</v>
      </c>
      <c r="M347" s="1078">
        <v>6.2499999999999986E-2</v>
      </c>
      <c r="N347" s="2948">
        <v>1</v>
      </c>
      <c r="O347" s="701"/>
      <c r="P347" s="599">
        <v>0.06</v>
      </c>
      <c r="Q347" s="703"/>
      <c r="R347" s="664">
        <v>13.7</v>
      </c>
      <c r="S347" s="676">
        <v>177</v>
      </c>
      <c r="T347" s="677">
        <v>5.7</v>
      </c>
      <c r="U347" s="679">
        <v>9.5999999999999992E-3</v>
      </c>
      <c r="V347" s="680">
        <v>0.32</v>
      </c>
      <c r="W347" s="664">
        <v>2.31</v>
      </c>
      <c r="X347" s="678">
        <v>1</v>
      </c>
      <c r="Y347" s="306"/>
      <c r="Z347" s="1469"/>
      <c r="AA347" s="2514"/>
      <c r="AB347" s="2514"/>
      <c r="AC347" s="2514"/>
      <c r="AD347" s="2515"/>
      <c r="AE347" s="2516"/>
    </row>
    <row r="348" spans="2:31" ht="14.25" thickBot="1">
      <c r="B348" s="4" t="str">
        <f t="shared" si="22"/>
        <v>*abgesetzte Ferkel (St.), Zuw. 8-26 kg LG</v>
      </c>
      <c r="D348" s="1105">
        <v>1.1499999999999999</v>
      </c>
      <c r="E348" s="946" t="s">
        <v>1367</v>
      </c>
      <c r="F348" s="978" t="s">
        <v>1651</v>
      </c>
      <c r="G348" s="1666" t="s">
        <v>672</v>
      </c>
      <c r="H348" s="978">
        <v>0</v>
      </c>
      <c r="I348" s="1482">
        <f>ROUND(0.41*0.8,2)</f>
        <v>0.33</v>
      </c>
      <c r="J348" s="1057">
        <v>0.17</v>
      </c>
      <c r="K348" s="1057">
        <v>0.24</v>
      </c>
      <c r="L348" s="1058">
        <v>0.05</v>
      </c>
      <c r="M348" s="2505">
        <v>6.3356164383561635E-3</v>
      </c>
      <c r="N348" s="2948">
        <v>1</v>
      </c>
      <c r="O348" s="2992" t="s">
        <v>1959</v>
      </c>
      <c r="P348" s="2991">
        <f>P347/365*37</f>
        <v>6.0821917808219182E-3</v>
      </c>
      <c r="Q348" s="703"/>
      <c r="R348" s="664">
        <v>13.7</v>
      </c>
      <c r="S348" s="676">
        <v>177</v>
      </c>
      <c r="T348" s="677">
        <v>5.7</v>
      </c>
      <c r="U348" s="679">
        <v>9.5999999999999992E-3</v>
      </c>
      <c r="V348" s="680">
        <v>0.32</v>
      </c>
      <c r="W348" s="664">
        <v>0.24</v>
      </c>
      <c r="X348" s="678">
        <v>0.11</v>
      </c>
      <c r="Y348" s="306"/>
      <c r="Z348" s="1469"/>
      <c r="AA348" s="2514"/>
      <c r="AB348" s="2514"/>
      <c r="AC348" s="2514"/>
      <c r="AD348" s="2515"/>
      <c r="AE348" s="2516"/>
    </row>
    <row r="349" spans="2:31" ht="13.5" thickBot="1">
      <c r="B349" s="4" t="s">
        <v>1430</v>
      </c>
      <c r="D349" s="1105"/>
      <c r="E349" s="535" t="s">
        <v>155</v>
      </c>
      <c r="F349" s="975"/>
      <c r="G349" s="1036"/>
      <c r="H349" s="975"/>
      <c r="I349" s="1483"/>
      <c r="J349" s="975"/>
      <c r="K349" s="975"/>
      <c r="L349" s="1048"/>
      <c r="M349" s="2730"/>
      <c r="N349" s="2950"/>
      <c r="O349" s="2714"/>
      <c r="P349" s="1431"/>
      <c r="Q349" s="1430"/>
      <c r="R349" s="664"/>
      <c r="S349" s="676"/>
      <c r="T349" s="677"/>
      <c r="U349" s="679"/>
      <c r="V349" s="680"/>
      <c r="W349" s="664"/>
      <c r="X349" s="678"/>
      <c r="Y349" s="306"/>
      <c r="Z349" s="1469"/>
      <c r="AA349" s="2518"/>
      <c r="AB349" s="2518"/>
    </row>
    <row r="350" spans="2:31">
      <c r="B350" s="4" t="str">
        <f t="shared" si="22"/>
        <v>Legehennen: Kotband (100 Pl.)</v>
      </c>
      <c r="D350" s="1105">
        <v>1.1499999999999999</v>
      </c>
      <c r="E350" s="955" t="s">
        <v>1369</v>
      </c>
      <c r="F350" s="984" t="s">
        <v>1546</v>
      </c>
      <c r="G350" s="1672" t="s">
        <v>1370</v>
      </c>
      <c r="H350" s="984">
        <v>0</v>
      </c>
      <c r="I350" s="1486">
        <f>ROUND(80*0.7,2)</f>
        <v>56</v>
      </c>
      <c r="J350" s="1075">
        <v>46</v>
      </c>
      <c r="K350" s="1075">
        <v>30</v>
      </c>
      <c r="L350" s="1076">
        <v>6.5</v>
      </c>
      <c r="M350" s="1066">
        <v>1</v>
      </c>
      <c r="N350" s="2954">
        <v>0</v>
      </c>
      <c r="O350" s="305"/>
      <c r="P350" s="599">
        <v>1</v>
      </c>
      <c r="Q350" s="699"/>
      <c r="R350" s="664">
        <v>11.6</v>
      </c>
      <c r="S350" s="676">
        <v>180</v>
      </c>
      <c r="T350" s="677">
        <v>5.7</v>
      </c>
      <c r="U350" s="679">
        <v>8.0000000000000002E-3</v>
      </c>
      <c r="V350" s="680">
        <v>0.2</v>
      </c>
      <c r="W350" s="664">
        <v>47.04</v>
      </c>
      <c r="X350" s="678">
        <v>34</v>
      </c>
      <c r="Y350" s="306"/>
      <c r="Z350" s="1469"/>
      <c r="AA350" s="2517"/>
      <c r="AB350" s="2511"/>
      <c r="AC350" s="2511"/>
      <c r="AD350" s="2512"/>
      <c r="AE350" s="2513"/>
    </row>
    <row r="351" spans="2:31">
      <c r="B351" s="4" t="str">
        <f t="shared" si="22"/>
        <v>Legehennen: Bodenhaltung, Kotgrube (100 Pl.)</v>
      </c>
      <c r="D351" s="1105">
        <v>1.1499999999999999</v>
      </c>
      <c r="E351" s="945" t="s">
        <v>830</v>
      </c>
      <c r="F351" s="974" t="s">
        <v>1418</v>
      </c>
      <c r="G351" s="1665" t="s">
        <v>1370</v>
      </c>
      <c r="H351" s="974">
        <v>0</v>
      </c>
      <c r="I351" s="1481">
        <f>ROUND(80*0.5,2)</f>
        <v>40</v>
      </c>
      <c r="J351" s="1059">
        <v>46</v>
      </c>
      <c r="K351" s="1059">
        <v>30</v>
      </c>
      <c r="L351" s="1060">
        <v>6.5</v>
      </c>
      <c r="M351" s="1085">
        <v>1</v>
      </c>
      <c r="N351" s="2947">
        <v>0</v>
      </c>
      <c r="O351" s="471"/>
      <c r="P351" s="2965">
        <v>1</v>
      </c>
      <c r="Q351" s="700"/>
      <c r="R351" s="547">
        <v>11.6</v>
      </c>
      <c r="S351" s="673">
        <v>180</v>
      </c>
      <c r="T351" s="548">
        <v>5.7</v>
      </c>
      <c r="U351" s="683">
        <v>8.0000000000000002E-3</v>
      </c>
      <c r="V351" s="684">
        <v>0.2</v>
      </c>
      <c r="W351" s="2705">
        <v>33.6</v>
      </c>
      <c r="X351" s="674">
        <v>34</v>
      </c>
      <c r="Y351" s="306"/>
      <c r="Z351" s="1681" t="s">
        <v>1781</v>
      </c>
      <c r="AA351" s="2517"/>
      <c r="AB351" s="2511"/>
      <c r="AC351" s="2511"/>
      <c r="AD351" s="2512"/>
      <c r="AE351" s="2513"/>
    </row>
    <row r="352" spans="2:31">
      <c r="B352" s="4" t="str">
        <f t="shared" si="22"/>
        <v>Junghennen (100 Pl.), 2.25 Umtriebe</v>
      </c>
      <c r="D352" s="1105">
        <v>1.1499999999999999</v>
      </c>
      <c r="E352" s="946" t="s">
        <v>1371</v>
      </c>
      <c r="F352" s="978" t="s">
        <v>1652</v>
      </c>
      <c r="G352" s="1666" t="s">
        <v>1370</v>
      </c>
      <c r="H352" s="978">
        <v>0</v>
      </c>
      <c r="I352" s="1482">
        <f>ROUND(30*0.6,2)</f>
        <v>18</v>
      </c>
      <c r="J352" s="1057">
        <v>17</v>
      </c>
      <c r="K352" s="1057">
        <v>12</v>
      </c>
      <c r="L352" s="1058">
        <v>2.5</v>
      </c>
      <c r="M352" s="1067">
        <v>0.4</v>
      </c>
      <c r="N352" s="2948">
        <v>0</v>
      </c>
      <c r="O352" s="966"/>
      <c r="P352" s="599">
        <v>0.4</v>
      </c>
      <c r="Q352" s="2964"/>
      <c r="R352" s="965"/>
      <c r="S352" s="306"/>
      <c r="T352" s="306"/>
      <c r="U352" s="306"/>
      <c r="V352" s="306"/>
      <c r="W352" s="306"/>
      <c r="X352" s="306"/>
      <c r="Y352" s="306"/>
      <c r="Z352" s="1469"/>
      <c r="AA352" s="2517"/>
      <c r="AB352" s="2511"/>
      <c r="AC352" s="2511"/>
      <c r="AD352" s="2512"/>
      <c r="AE352" s="2513"/>
    </row>
    <row r="353" spans="1:31" ht="13.5">
      <c r="B353" s="4" t="str">
        <f t="shared" si="22"/>
        <v>Junghennen (100 Stk.)</v>
      </c>
      <c r="D353" s="1105">
        <v>1.1499999999999999</v>
      </c>
      <c r="E353" s="946" t="s">
        <v>1372</v>
      </c>
      <c r="F353" s="978" t="s">
        <v>897</v>
      </c>
      <c r="G353" s="1666" t="s">
        <v>1373</v>
      </c>
      <c r="H353" s="978">
        <v>0</v>
      </c>
      <c r="I353" s="1482">
        <f>ROUND(ROUND(30/2.25,1)*0.6,2)</f>
        <v>7.98</v>
      </c>
      <c r="J353" s="1068">
        <f>17/2.25</f>
        <v>7.5555555555555554</v>
      </c>
      <c r="K353" s="1081">
        <f>ROUND(12/2.25,1)</f>
        <v>5.3</v>
      </c>
      <c r="L353" s="1082">
        <f>ROUND(2.5/2.25,2)</f>
        <v>1.1100000000000001</v>
      </c>
      <c r="M353" s="1067">
        <v>0.17777777777777778</v>
      </c>
      <c r="N353" s="2948">
        <v>0</v>
      </c>
      <c r="O353" s="967" t="s">
        <v>32</v>
      </c>
      <c r="P353" s="2991">
        <f>P352/2.25</f>
        <v>0.17777777777777778</v>
      </c>
      <c r="Q353" s="2938"/>
      <c r="R353" s="306"/>
      <c r="S353" s="2993" t="s">
        <v>1960</v>
      </c>
      <c r="T353" s="306"/>
      <c r="U353" s="306"/>
      <c r="V353" s="306"/>
      <c r="W353" s="306"/>
      <c r="X353" s="306"/>
      <c r="Y353" s="306"/>
      <c r="Z353" s="1469"/>
      <c r="AA353" s="2517"/>
      <c r="AB353" s="2511"/>
      <c r="AC353" s="2511"/>
      <c r="AD353" s="2512"/>
      <c r="AE353" s="2513"/>
    </row>
    <row r="354" spans="1:31">
      <c r="B354" s="4" t="str">
        <f t="shared" si="22"/>
        <v>Mastpoulets (100 Pl.)</v>
      </c>
      <c r="D354" s="1105">
        <v>1.1499999999999999</v>
      </c>
      <c r="E354" s="946" t="s">
        <v>1374</v>
      </c>
      <c r="F354" s="978" t="s">
        <v>1375</v>
      </c>
      <c r="G354" s="1666" t="s">
        <v>1370</v>
      </c>
      <c r="H354" s="978">
        <v>0</v>
      </c>
      <c r="I354" s="1482">
        <f>ROUND(36*0.6,2)</f>
        <v>21.6</v>
      </c>
      <c r="J354" s="1057">
        <v>13</v>
      </c>
      <c r="K354" s="1057">
        <v>22</v>
      </c>
      <c r="L354" s="1058">
        <v>4.4000000000000004</v>
      </c>
      <c r="M354" s="1067">
        <v>0.53300000000000003</v>
      </c>
      <c r="N354" s="2948">
        <v>0</v>
      </c>
      <c r="O354" s="305"/>
      <c r="P354" s="599">
        <v>0.4</v>
      </c>
      <c r="Q354" s="2938"/>
      <c r="R354" s="306"/>
      <c r="S354" s="2993" t="s">
        <v>1961</v>
      </c>
      <c r="T354" s="306"/>
      <c r="U354" s="306"/>
      <c r="V354" s="306"/>
      <c r="W354" s="306"/>
      <c r="X354" s="306"/>
      <c r="Y354" s="306"/>
      <c r="Z354" s="1469"/>
      <c r="AA354" s="2517"/>
      <c r="AB354" s="2511"/>
      <c r="AC354" s="2511"/>
      <c r="AD354" s="2512"/>
      <c r="AE354" s="2513"/>
    </row>
    <row r="355" spans="1:31" ht="150" customHeight="1">
      <c r="A355" s="7"/>
      <c r="B355" s="7" t="str">
        <f t="shared" si="22"/>
        <v>Mastpoulets (100 St.) -&gt; Umrechnung auf Plätze machen!</v>
      </c>
      <c r="C355" s="7"/>
      <c r="D355" s="1106"/>
      <c r="E355" s="956" t="s">
        <v>1376</v>
      </c>
      <c r="F355" s="985" t="s">
        <v>694</v>
      </c>
      <c r="G355" s="1083"/>
      <c r="H355" s="985"/>
      <c r="I355" s="1487"/>
      <c r="J355" s="1084"/>
      <c r="K355" s="1084"/>
      <c r="L355" s="1084"/>
      <c r="M355" s="3485" t="s">
        <v>1579</v>
      </c>
      <c r="N355" s="3486"/>
      <c r="O355" s="2394" t="s">
        <v>1580</v>
      </c>
      <c r="P355" s="2395"/>
      <c r="Q355" s="2396"/>
      <c r="R355" s="2397"/>
      <c r="S355" s="306"/>
      <c r="T355" s="306"/>
      <c r="U355" s="306"/>
      <c r="V355" s="306"/>
      <c r="W355" s="306"/>
      <c r="X355" s="306"/>
      <c r="Y355" s="306"/>
      <c r="Z355" s="1469"/>
      <c r="AA355" s="2517"/>
      <c r="AB355" s="2511"/>
      <c r="AC355" s="2511"/>
      <c r="AD355" s="2512"/>
      <c r="AE355" s="2513"/>
    </row>
    <row r="356" spans="1:31">
      <c r="B356" s="4" t="str">
        <f t="shared" si="22"/>
        <v>Masttruten (100 Pl.), 2.8 Umtriebe</v>
      </c>
      <c r="D356" s="1105">
        <v>1.1499999999999999</v>
      </c>
      <c r="E356" s="946" t="s">
        <v>1377</v>
      </c>
      <c r="F356" s="978" t="s">
        <v>1653</v>
      </c>
      <c r="G356" s="1666" t="s">
        <v>1370</v>
      </c>
      <c r="H356" s="978">
        <v>0</v>
      </c>
      <c r="I356" s="1482">
        <f>ROUND(140*0.6,2)</f>
        <v>84</v>
      </c>
      <c r="J356" s="1057">
        <v>70</v>
      </c>
      <c r="K356" s="1057">
        <v>40</v>
      </c>
      <c r="L356" s="1058">
        <v>18</v>
      </c>
      <c r="M356" s="1067">
        <v>2</v>
      </c>
      <c r="N356" s="2948">
        <v>0</v>
      </c>
      <c r="O356" s="305"/>
      <c r="P356" s="599">
        <v>1.5</v>
      </c>
      <c r="Q356" s="2938"/>
      <c r="R356" s="306"/>
      <c r="S356" s="306"/>
      <c r="T356" s="306"/>
      <c r="U356" s="306"/>
      <c r="V356" s="306"/>
      <c r="W356" s="306"/>
      <c r="X356" s="306"/>
      <c r="Y356" s="306"/>
      <c r="Z356" s="1469"/>
      <c r="AA356" s="2517"/>
      <c r="AB356" s="2511"/>
      <c r="AC356" s="2511"/>
      <c r="AD356" s="2512"/>
      <c r="AE356" s="2513"/>
    </row>
    <row r="357" spans="1:31" ht="13.5">
      <c r="B357" s="4" t="str">
        <f t="shared" si="22"/>
        <v>Masttruten (100 St.)</v>
      </c>
      <c r="D357" s="1105"/>
      <c r="E357" s="946" t="s">
        <v>1378</v>
      </c>
      <c r="F357" s="978" t="s">
        <v>898</v>
      </c>
      <c r="G357" s="1666" t="s">
        <v>1373</v>
      </c>
      <c r="H357" s="978">
        <v>0</v>
      </c>
      <c r="I357" s="1482">
        <f>ROUND(50*0.6,2)</f>
        <v>30</v>
      </c>
      <c r="J357" s="1057">
        <v>25</v>
      </c>
      <c r="K357" s="1057">
        <f>ROUND(40/2.8,2)</f>
        <v>14.29</v>
      </c>
      <c r="L357" s="1058">
        <f>ROUND(18/2.8,2)</f>
        <v>6.43</v>
      </c>
      <c r="M357" s="1067">
        <v>0.66666666666666663</v>
      </c>
      <c r="N357" s="2948">
        <v>0</v>
      </c>
      <c r="O357" s="2990" t="s">
        <v>1957</v>
      </c>
      <c r="P357" s="2989">
        <f>1.5/3</f>
        <v>0.5</v>
      </c>
      <c r="Q357" s="2938"/>
      <c r="R357" s="306"/>
      <c r="S357" s="306"/>
      <c r="T357" s="306"/>
      <c r="U357" s="306"/>
      <c r="V357" s="306"/>
      <c r="W357" s="306"/>
      <c r="X357" s="306"/>
      <c r="Y357" s="306"/>
      <c r="Z357" s="1469"/>
      <c r="AA357" s="2517"/>
      <c r="AB357" s="2511"/>
      <c r="AC357" s="2511"/>
      <c r="AD357" s="2512"/>
      <c r="AE357" s="2513"/>
    </row>
    <row r="358" spans="1:31">
      <c r="B358" s="4" t="str">
        <f t="shared" si="22"/>
        <v>Truten-Vormast (100 Pl.), bis 1.5 kg, 6 Umtriebe</v>
      </c>
      <c r="D358" s="1105">
        <v>1.1499999999999999</v>
      </c>
      <c r="E358" s="946" t="s">
        <v>1379</v>
      </c>
      <c r="F358" s="978" t="s">
        <v>1654</v>
      </c>
      <c r="G358" s="1666" t="s">
        <v>1370</v>
      </c>
      <c r="H358" s="978">
        <v>0</v>
      </c>
      <c r="I358" s="1482">
        <f>ROUND(40*0.6,2)</f>
        <v>24</v>
      </c>
      <c r="J358" s="1057">
        <v>20.6</v>
      </c>
      <c r="K358" s="1057">
        <v>12</v>
      </c>
      <c r="L358" s="1058">
        <v>5</v>
      </c>
      <c r="M358" s="1067">
        <v>0.66666666666666663</v>
      </c>
      <c r="N358" s="2948">
        <v>0</v>
      </c>
      <c r="O358" s="305"/>
      <c r="P358" s="599">
        <v>0.5</v>
      </c>
      <c r="Q358" s="2938"/>
      <c r="R358" s="306"/>
      <c r="S358" s="306"/>
      <c r="T358" s="306"/>
      <c r="U358" s="306"/>
      <c r="V358" s="306"/>
      <c r="W358" s="306"/>
      <c r="X358" s="306"/>
      <c r="Y358" s="306"/>
      <c r="Z358" s="1469"/>
      <c r="AA358" s="2517"/>
      <c r="AB358" s="2511"/>
      <c r="AC358" s="2511"/>
      <c r="AD358" s="2512"/>
      <c r="AE358" s="2513"/>
    </row>
    <row r="359" spans="1:31">
      <c r="B359" s="4" t="str">
        <f t="shared" si="22"/>
        <v>Truten-Ausmast (100 Pl.), 1.5-13 kg LG, 2.9 Umtriebe</v>
      </c>
      <c r="D359" s="1105">
        <v>1.1499999999999999</v>
      </c>
      <c r="E359" s="945" t="s">
        <v>1380</v>
      </c>
      <c r="F359" s="974" t="s">
        <v>1655</v>
      </c>
      <c r="G359" s="1665" t="s">
        <v>1370</v>
      </c>
      <c r="H359" s="974">
        <v>0</v>
      </c>
      <c r="I359" s="1481">
        <f>ROUND(230*0.6,2)</f>
        <v>138</v>
      </c>
      <c r="J359" s="1059">
        <v>114.6</v>
      </c>
      <c r="K359" s="1059">
        <v>70</v>
      </c>
      <c r="L359" s="1060">
        <v>29</v>
      </c>
      <c r="M359" s="1085">
        <v>3.7333333333333329</v>
      </c>
      <c r="N359" s="2947">
        <v>0</v>
      </c>
      <c r="O359" s="305"/>
      <c r="P359" s="599">
        <v>2.8</v>
      </c>
      <c r="Q359" s="2938"/>
      <c r="R359" s="306"/>
      <c r="S359" s="306"/>
      <c r="T359" s="306"/>
      <c r="U359" s="306"/>
      <c r="V359" s="306"/>
      <c r="W359" s="306"/>
      <c r="X359" s="306"/>
      <c r="Y359" s="306"/>
      <c r="Z359" s="1469"/>
      <c r="AA359" s="2517"/>
      <c r="AB359" s="2511"/>
      <c r="AC359" s="2511"/>
      <c r="AD359" s="2512"/>
      <c r="AE359" s="2513"/>
    </row>
    <row r="360" spans="1:31">
      <c r="B360" s="4" t="str">
        <f t="shared" si="22"/>
        <v>Strausse bis 13 Mt.</v>
      </c>
      <c r="D360" s="1105"/>
      <c r="E360" s="946" t="s">
        <v>1381</v>
      </c>
      <c r="F360" s="978" t="s">
        <v>1382</v>
      </c>
      <c r="G360" s="1666" t="s">
        <v>672</v>
      </c>
      <c r="H360" s="978">
        <v>2</v>
      </c>
      <c r="I360" s="1482">
        <f>ROUND(11*0.6,2)</f>
        <v>6.6</v>
      </c>
      <c r="J360" s="1057">
        <v>6</v>
      </c>
      <c r="K360" s="1057">
        <v>8</v>
      </c>
      <c r="L360" s="1058">
        <v>0.8</v>
      </c>
      <c r="M360" s="1067">
        <v>0.14000000000000001</v>
      </c>
      <c r="N360" s="2948">
        <v>1</v>
      </c>
      <c r="O360" s="305"/>
      <c r="P360" s="599">
        <v>0.14000000000000001</v>
      </c>
      <c r="Q360" s="1428" t="s">
        <v>163</v>
      </c>
      <c r="R360" s="306"/>
      <c r="S360" s="306"/>
      <c r="T360" s="306"/>
      <c r="U360" s="306"/>
      <c r="V360" s="306"/>
      <c r="W360" s="306"/>
      <c r="X360" s="306"/>
      <c r="Y360" s="306"/>
      <c r="Z360" s="1469"/>
      <c r="AA360" s="2517"/>
      <c r="AB360" s="2511"/>
      <c r="AC360" s="2511"/>
      <c r="AD360" s="2512"/>
      <c r="AE360" s="2513"/>
    </row>
    <row r="361" spans="1:31">
      <c r="B361" s="4" t="str">
        <f t="shared" si="22"/>
        <v>Strausse älter als 13 Mt.</v>
      </c>
      <c r="D361" s="1105"/>
      <c r="E361" s="946" t="s">
        <v>1383</v>
      </c>
      <c r="F361" s="978" t="s">
        <v>1384</v>
      </c>
      <c r="G361" s="1666" t="s">
        <v>672</v>
      </c>
      <c r="H361" s="978">
        <v>11</v>
      </c>
      <c r="I361" s="1482">
        <f>ROUND(24*0.6,2)</f>
        <v>14.4</v>
      </c>
      <c r="J361" s="1057">
        <v>10</v>
      </c>
      <c r="K361" s="1057">
        <v>15</v>
      </c>
      <c r="L361" s="1058">
        <v>1.3</v>
      </c>
      <c r="M361" s="1067">
        <v>0.26</v>
      </c>
      <c r="N361" s="2948">
        <v>1</v>
      </c>
      <c r="O361" s="305"/>
      <c r="P361" s="599">
        <v>0.26</v>
      </c>
      <c r="Q361" s="1428" t="s">
        <v>163</v>
      </c>
      <c r="R361" s="306"/>
      <c r="S361" s="306"/>
      <c r="T361" s="306"/>
      <c r="U361" s="306"/>
      <c r="V361" s="306"/>
      <c r="W361" s="306"/>
      <c r="X361" s="306"/>
      <c r="Y361" s="306"/>
      <c r="Z361" s="1469"/>
      <c r="AA361" s="2517"/>
      <c r="AB361" s="2511"/>
      <c r="AC361" s="2511"/>
      <c r="AD361" s="2512"/>
      <c r="AE361" s="2513"/>
    </row>
    <row r="362" spans="1:31">
      <c r="B362" s="4" t="str">
        <f t="shared" si="22"/>
        <v>Enten (100 Pl.)</v>
      </c>
      <c r="D362" s="1105"/>
      <c r="E362" s="946" t="s">
        <v>6</v>
      </c>
      <c r="F362" s="978" t="s">
        <v>3</v>
      </c>
      <c r="G362" s="1666" t="s">
        <v>1370</v>
      </c>
      <c r="H362" s="978">
        <v>0</v>
      </c>
      <c r="I362" s="1482">
        <f>ROUND(66*0.6,2)</f>
        <v>39.6</v>
      </c>
      <c r="J362" s="1057">
        <v>34</v>
      </c>
      <c r="K362" s="1057">
        <v>24</v>
      </c>
      <c r="L362" s="1058">
        <v>5</v>
      </c>
      <c r="M362" s="2506">
        <v>0.8</v>
      </c>
      <c r="N362" s="2948">
        <v>0</v>
      </c>
      <c r="O362" s="305"/>
      <c r="P362" s="599">
        <v>0.8</v>
      </c>
      <c r="Q362" s="2938"/>
      <c r="R362" s="306"/>
      <c r="S362" s="306"/>
      <c r="T362" s="306"/>
      <c r="U362" s="306"/>
      <c r="V362" s="306"/>
      <c r="W362" s="306"/>
      <c r="X362" s="306"/>
      <c r="Y362" s="306"/>
      <c r="Z362" s="1469"/>
      <c r="AA362" s="2517"/>
      <c r="AB362" s="2511"/>
      <c r="AC362" s="2511"/>
      <c r="AD362" s="2512"/>
      <c r="AE362" s="2513"/>
    </row>
    <row r="363" spans="1:31">
      <c r="B363" s="4" t="str">
        <f t="shared" si="22"/>
        <v>Gänse (100 Pl.)</v>
      </c>
      <c r="D363" s="1105"/>
      <c r="E363" s="946" t="s">
        <v>7</v>
      </c>
      <c r="F363" s="978" t="s">
        <v>4</v>
      </c>
      <c r="G363" s="1666" t="s">
        <v>1370</v>
      </c>
      <c r="H363" s="978">
        <v>0</v>
      </c>
      <c r="I363" s="1482">
        <f>ROUND(105*0.6,2)</f>
        <v>63</v>
      </c>
      <c r="J363" s="1057">
        <v>53</v>
      </c>
      <c r="K363" s="1057">
        <v>30</v>
      </c>
      <c r="L363" s="1058">
        <v>14</v>
      </c>
      <c r="M363" s="2506">
        <v>1.2</v>
      </c>
      <c r="N363" s="2948">
        <v>0</v>
      </c>
      <c r="O363" s="305"/>
      <c r="P363" s="599">
        <v>1.2</v>
      </c>
      <c r="Q363" s="2938"/>
      <c r="R363" s="306"/>
      <c r="S363" s="306"/>
      <c r="T363" s="306"/>
      <c r="U363" s="306"/>
      <c r="V363" s="306"/>
      <c r="W363" s="306"/>
      <c r="X363" s="306"/>
      <c r="Y363" s="306"/>
      <c r="Z363" s="1469"/>
      <c r="AA363" s="2517"/>
      <c r="AB363" s="2511"/>
      <c r="AC363" s="2511"/>
      <c r="AD363" s="2512"/>
      <c r="AE363" s="2513"/>
    </row>
    <row r="364" spans="1:31">
      <c r="B364" s="4" t="str">
        <f t="shared" si="22"/>
        <v>Perlhühner (100 Pl.)</v>
      </c>
      <c r="D364" s="1105"/>
      <c r="E364" s="946" t="s">
        <v>8</v>
      </c>
      <c r="F364" s="978" t="s">
        <v>5</v>
      </c>
      <c r="G364" s="1666" t="s">
        <v>1370</v>
      </c>
      <c r="H364" s="978">
        <v>0</v>
      </c>
      <c r="I364" s="1482">
        <f>ROUND(38*0.6,2)</f>
        <v>22.8</v>
      </c>
      <c r="J364" s="1057">
        <v>19</v>
      </c>
      <c r="K364" s="1057">
        <v>14</v>
      </c>
      <c r="L364" s="1058">
        <v>3</v>
      </c>
      <c r="M364" s="2506">
        <v>0.4</v>
      </c>
      <c r="N364" s="2948">
        <v>0</v>
      </c>
      <c r="O364" s="305"/>
      <c r="P364" s="599">
        <v>0.4</v>
      </c>
      <c r="Q364" s="2938"/>
      <c r="R364" s="306"/>
      <c r="S364" s="306"/>
      <c r="T364" s="306"/>
      <c r="U364" s="306"/>
      <c r="V364" s="306"/>
      <c r="W364" s="306"/>
      <c r="X364" s="306"/>
      <c r="Y364" s="306"/>
      <c r="Z364" s="1469"/>
      <c r="AA364" s="2517"/>
      <c r="AB364" s="2511"/>
      <c r="AC364" s="2511"/>
      <c r="AD364" s="2512"/>
      <c r="AE364" s="2513"/>
    </row>
    <row r="365" spans="1:31" ht="13.5" thickBot="1">
      <c r="B365" s="4" t="str">
        <f t="shared" si="22"/>
        <v>Wachteln (100 Stk.)</v>
      </c>
      <c r="D365" s="1105"/>
      <c r="E365" s="946" t="s">
        <v>1289</v>
      </c>
      <c r="F365" s="978" t="s">
        <v>1778</v>
      </c>
      <c r="G365" s="1666" t="s">
        <v>1773</v>
      </c>
      <c r="H365" s="978">
        <v>0</v>
      </c>
      <c r="I365" s="1482">
        <f>ROUND(30*0.6,2)</f>
        <v>18</v>
      </c>
      <c r="J365" s="1057">
        <v>18</v>
      </c>
      <c r="K365" s="1057">
        <v>6.5</v>
      </c>
      <c r="L365" s="2613"/>
      <c r="M365" s="1067">
        <v>0.4</v>
      </c>
      <c r="N365" s="2948">
        <v>0</v>
      </c>
      <c r="O365" s="305"/>
      <c r="P365" s="599">
        <v>0.4</v>
      </c>
      <c r="Q365" s="2963"/>
      <c r="R365" s="306"/>
      <c r="S365" s="306"/>
      <c r="T365" s="306"/>
      <c r="U365" s="306"/>
      <c r="V365" s="306"/>
      <c r="W365" s="306"/>
      <c r="X365" s="306"/>
      <c r="Y365" s="306"/>
      <c r="Z365" s="1469"/>
      <c r="AA365" s="2517"/>
      <c r="AB365" s="2511"/>
      <c r="AC365" s="2511"/>
      <c r="AD365" s="2512"/>
      <c r="AE365" s="2513"/>
    </row>
    <row r="366" spans="1:31" ht="13.5" thickBot="1">
      <c r="B366" s="4" t="s">
        <v>1430</v>
      </c>
      <c r="D366" s="1105"/>
      <c r="E366" s="535" t="s">
        <v>154</v>
      </c>
      <c r="F366" s="975"/>
      <c r="G366" s="1036"/>
      <c r="H366" s="975"/>
      <c r="I366" s="1063"/>
      <c r="J366" s="975"/>
      <c r="K366" s="975"/>
      <c r="L366" s="1048"/>
      <c r="M366" s="1049"/>
      <c r="N366" s="2956"/>
      <c r="O366" s="672"/>
      <c r="P366" s="1429"/>
      <c r="Q366" s="1430"/>
      <c r="R366" s="306"/>
      <c r="S366" s="306"/>
      <c r="T366" s="306"/>
      <c r="U366" s="306"/>
      <c r="V366" s="306"/>
      <c r="W366" s="306"/>
      <c r="X366" s="306"/>
      <c r="Y366" s="306"/>
      <c r="Z366" s="1469"/>
    </row>
    <row r="367" spans="1:31">
      <c r="B367" s="4" t="str">
        <f t="shared" si="22"/>
        <v>Produzierende Zibbe (inkl. Jungtiere bis ca. 35 d)</v>
      </c>
      <c r="D367" s="1105"/>
      <c r="E367" s="942" t="s">
        <v>1385</v>
      </c>
      <c r="F367" s="971" t="s">
        <v>1284</v>
      </c>
      <c r="G367" s="1662" t="s">
        <v>672</v>
      </c>
      <c r="H367" s="971">
        <v>0.36</v>
      </c>
      <c r="I367" s="1478">
        <f>ROUND(2.6*0.85,2)</f>
        <v>2.21</v>
      </c>
      <c r="J367" s="1055">
        <v>1.5</v>
      </c>
      <c r="K367" s="1055">
        <v>2.5</v>
      </c>
      <c r="L367" s="2573"/>
      <c r="M367" s="2507">
        <v>3.4000000000000002E-2</v>
      </c>
      <c r="N367" s="2944">
        <v>1</v>
      </c>
      <c r="O367" s="305"/>
      <c r="P367" s="599">
        <v>3.4000000000000002E-2</v>
      </c>
      <c r="Q367" s="1428" t="s">
        <v>163</v>
      </c>
      <c r="R367" s="306"/>
      <c r="S367" s="306"/>
      <c r="T367" s="306"/>
      <c r="U367" s="306"/>
      <c r="V367" s="306"/>
      <c r="W367" s="306"/>
      <c r="X367" s="306"/>
      <c r="Y367" s="306"/>
      <c r="Z367" s="1469"/>
      <c r="AA367" s="2511"/>
      <c r="AB367" s="2511"/>
      <c r="AC367" s="2511"/>
      <c r="AD367" s="2512"/>
      <c r="AE367" s="2513"/>
    </row>
    <row r="368" spans="1:31" ht="13.5" thickBot="1">
      <c r="B368" s="4" t="str">
        <f>F368</f>
        <v xml:space="preserve">Kaninchen-Jungtier (ab ca. 35 d, 100 Pl.) </v>
      </c>
      <c r="D368" s="1105"/>
      <c r="E368" s="957" t="s">
        <v>1286</v>
      </c>
      <c r="F368" s="986" t="s">
        <v>1285</v>
      </c>
      <c r="G368" s="1673" t="s">
        <v>1370</v>
      </c>
      <c r="H368" s="986">
        <v>4</v>
      </c>
      <c r="I368" s="1488">
        <f>ROUND(79*0.85,2)</f>
        <v>67.150000000000006</v>
      </c>
      <c r="J368" s="1086">
        <v>48</v>
      </c>
      <c r="K368" s="1086">
        <v>75</v>
      </c>
      <c r="L368" s="2574"/>
      <c r="M368" s="2508">
        <v>1.1100000000000001</v>
      </c>
      <c r="N368" s="2957">
        <v>1</v>
      </c>
      <c r="O368" s="305"/>
      <c r="P368" s="599">
        <v>1.1100000000000001</v>
      </c>
      <c r="Q368" s="1428" t="s">
        <v>163</v>
      </c>
      <c r="R368" s="306"/>
      <c r="S368" s="306"/>
      <c r="T368" s="306"/>
      <c r="U368" s="306"/>
      <c r="V368" s="306"/>
      <c r="W368" s="306"/>
      <c r="X368" s="306"/>
      <c r="Y368" s="306"/>
      <c r="Z368" s="1469"/>
      <c r="AA368" s="2511"/>
      <c r="AB368" s="2511"/>
      <c r="AC368" s="2511"/>
      <c r="AD368" s="2512"/>
      <c r="AE368" s="2513"/>
    </row>
    <row r="369" spans="2:26" ht="24.95" customHeight="1">
      <c r="B369" s="685" t="s">
        <v>156</v>
      </c>
      <c r="C369" s="685"/>
      <c r="D369" s="694"/>
      <c r="E369" s="427"/>
      <c r="F369" s="3481" t="s">
        <v>696</v>
      </c>
      <c r="G369" s="3481"/>
      <c r="H369" s="3481"/>
      <c r="I369" s="3481"/>
      <c r="J369" s="3481"/>
      <c r="K369" s="3481"/>
      <c r="L369" s="3481"/>
      <c r="M369" s="1087"/>
      <c r="N369" s="575"/>
      <c r="O369" s="305"/>
      <c r="P369" s="599"/>
      <c r="Q369" s="2938"/>
      <c r="R369" s="306"/>
      <c r="S369" s="306"/>
      <c r="T369" s="306"/>
      <c r="U369" s="306"/>
      <c r="V369" s="306"/>
      <c r="W369" s="306"/>
      <c r="X369" s="306"/>
      <c r="Y369" s="306"/>
      <c r="Z369" s="1469"/>
    </row>
    <row r="370" spans="2:26">
      <c r="B370" s="685" t="s">
        <v>637</v>
      </c>
      <c r="C370" s="685"/>
      <c r="D370" s="694"/>
      <c r="E370" s="704" t="s">
        <v>157</v>
      </c>
      <c r="F370" s="987"/>
      <c r="G370" s="706"/>
      <c r="H370" s="705"/>
      <c r="I370" s="707"/>
      <c r="J370" s="705"/>
      <c r="K370" s="705"/>
      <c r="L370" s="705"/>
      <c r="M370" s="886"/>
      <c r="N370" s="887"/>
      <c r="O370" s="305"/>
      <c r="P370" s="599"/>
      <c r="Q370" s="2938"/>
      <c r="R370" s="306"/>
      <c r="S370" s="306"/>
      <c r="T370" s="306"/>
      <c r="U370" s="306"/>
      <c r="V370" s="306"/>
      <c r="W370" s="306"/>
      <c r="X370" s="306"/>
      <c r="Y370" s="306"/>
      <c r="Z370" s="1469" t="s">
        <v>1781</v>
      </c>
    </row>
    <row r="371" spans="2:26">
      <c r="B371" s="4" t="str">
        <f>IF(F371="",D371,F371)</f>
        <v>korrigiert (1)</v>
      </c>
      <c r="C371" s="686" t="str">
        <f>'Lineare Korrektur'!B10</f>
        <v/>
      </c>
      <c r="D371" s="686" t="str">
        <f>'Lineare Korrektur'!A11</f>
        <v>korrigiert (1)</v>
      </c>
      <c r="E371" s="958" t="str">
        <f>'Lineare Korrektur'!B11</f>
        <v/>
      </c>
      <c r="F371" s="988" t="str">
        <f>'Lineare Korrektur'!C11</f>
        <v/>
      </c>
      <c r="G371" s="1674" t="str">
        <f>'Lineare Korrektur'!D11</f>
        <v/>
      </c>
      <c r="H371" s="687" t="str">
        <f>'Lineare Korrektur'!E11</f>
        <v/>
      </c>
      <c r="I371" s="688" t="str">
        <f>'Lineare Korrektur'!F11</f>
        <v/>
      </c>
      <c r="J371" s="688" t="str">
        <f>'Lineare Korrektur'!G11</f>
        <v/>
      </c>
      <c r="K371" s="687" t="str">
        <f>'Lineare Korrektur'!H11</f>
        <v/>
      </c>
      <c r="L371" s="558" t="str">
        <f>'Lineare Korrektur'!I11</f>
        <v/>
      </c>
      <c r="M371" s="888" t="e">
        <f t="shared" ref="M371:M378" si="24">J371/35</f>
        <v>#VALUE!</v>
      </c>
      <c r="N371" s="889" t="e">
        <f t="shared" ref="N371:N378" si="25">VLOOKUP(C371,E$335:N$351,10,FALSE)</f>
        <v>#N/A</v>
      </c>
      <c r="O371" s="305"/>
      <c r="P371" s="599"/>
      <c r="Q371" s="2938"/>
      <c r="R371" s="306"/>
      <c r="S371" s="306"/>
      <c r="T371" s="306"/>
      <c r="U371" s="306"/>
      <c r="V371" s="306"/>
      <c r="W371" s="306"/>
      <c r="X371" s="306"/>
      <c r="Y371" s="306"/>
      <c r="Z371" s="1469"/>
    </row>
    <row r="372" spans="2:26">
      <c r="B372" s="4" t="str">
        <f t="shared" ref="B372:B378" si="26">IF(F372="",D372,F372)</f>
        <v>korrigiert (2)</v>
      </c>
      <c r="C372" s="686" t="str">
        <f>'Lineare Korrektur'!B13</f>
        <v/>
      </c>
      <c r="D372" s="686" t="str">
        <f>'Lineare Korrektur'!A14</f>
        <v>korrigiert (2)</v>
      </c>
      <c r="E372" s="958" t="str">
        <f>'Lineare Korrektur'!B14</f>
        <v/>
      </c>
      <c r="F372" s="988" t="str">
        <f>'Lineare Korrektur'!C14</f>
        <v/>
      </c>
      <c r="G372" s="1674" t="str">
        <f>'Lineare Korrektur'!D14</f>
        <v/>
      </c>
      <c r="H372" s="687" t="str">
        <f>'Lineare Korrektur'!E14</f>
        <v/>
      </c>
      <c r="I372" s="688" t="str">
        <f>'Lineare Korrektur'!F14</f>
        <v/>
      </c>
      <c r="J372" s="688" t="str">
        <f>'Lineare Korrektur'!G14</f>
        <v/>
      </c>
      <c r="K372" s="687" t="str">
        <f>'Lineare Korrektur'!H14</f>
        <v/>
      </c>
      <c r="L372" s="558" t="str">
        <f>'Lineare Korrektur'!I14</f>
        <v/>
      </c>
      <c r="M372" s="888" t="e">
        <f t="shared" si="24"/>
        <v>#VALUE!</v>
      </c>
      <c r="N372" s="889" t="e">
        <f t="shared" si="25"/>
        <v>#N/A</v>
      </c>
      <c r="O372" s="305"/>
      <c r="P372" s="599"/>
      <c r="Q372" s="2938"/>
      <c r="R372" s="306"/>
      <c r="S372" s="306"/>
      <c r="T372" s="306"/>
      <c r="U372" s="306"/>
      <c r="V372" s="306"/>
      <c r="W372" s="306"/>
      <c r="X372" s="306"/>
      <c r="Y372" s="306"/>
      <c r="Z372" s="1469"/>
    </row>
    <row r="373" spans="2:26">
      <c r="B373" s="4" t="str">
        <f t="shared" si="26"/>
        <v>korrigiert (3)</v>
      </c>
      <c r="C373" s="686" t="str">
        <f>'Lineare Korrektur'!B16</f>
        <v/>
      </c>
      <c r="D373" s="686" t="str">
        <f>'Lineare Korrektur'!A17</f>
        <v>korrigiert (3)</v>
      </c>
      <c r="E373" s="958" t="str">
        <f>'Lineare Korrektur'!B17</f>
        <v/>
      </c>
      <c r="F373" s="988" t="str">
        <f>'Lineare Korrektur'!C17</f>
        <v/>
      </c>
      <c r="G373" s="1674" t="str">
        <f>'Lineare Korrektur'!D17</f>
        <v/>
      </c>
      <c r="H373" s="687" t="str">
        <f>'Lineare Korrektur'!E17</f>
        <v/>
      </c>
      <c r="I373" s="688" t="str">
        <f>'Lineare Korrektur'!F17</f>
        <v/>
      </c>
      <c r="J373" s="688" t="str">
        <f>'Lineare Korrektur'!G17</f>
        <v/>
      </c>
      <c r="K373" s="687" t="str">
        <f>'Lineare Korrektur'!H17</f>
        <v/>
      </c>
      <c r="L373" s="558" t="str">
        <f>'Lineare Korrektur'!I17</f>
        <v/>
      </c>
      <c r="M373" s="888" t="e">
        <f t="shared" si="24"/>
        <v>#VALUE!</v>
      </c>
      <c r="N373" s="889" t="e">
        <f t="shared" si="25"/>
        <v>#N/A</v>
      </c>
      <c r="O373" s="305"/>
      <c r="P373" s="599"/>
      <c r="Q373" s="2938"/>
      <c r="R373" s="306"/>
      <c r="S373" s="306"/>
      <c r="T373" s="306"/>
      <c r="U373" s="306"/>
      <c r="V373" s="306"/>
      <c r="W373" s="306"/>
      <c r="X373" s="306"/>
      <c r="Y373" s="306"/>
      <c r="Z373" s="1469"/>
    </row>
    <row r="374" spans="2:26">
      <c r="B374" s="4" t="str">
        <f t="shared" si="26"/>
        <v>korrigiert (4)</v>
      </c>
      <c r="C374" s="686" t="str">
        <f>'Lineare Korrektur'!B19</f>
        <v/>
      </c>
      <c r="D374" s="686" t="str">
        <f>'Lineare Korrektur'!A20</f>
        <v>korrigiert (4)</v>
      </c>
      <c r="E374" s="958" t="str">
        <f>'Lineare Korrektur'!B20</f>
        <v/>
      </c>
      <c r="F374" s="988" t="str">
        <f>'Lineare Korrektur'!C20</f>
        <v/>
      </c>
      <c r="G374" s="1674" t="str">
        <f>'Lineare Korrektur'!D20</f>
        <v/>
      </c>
      <c r="H374" s="687" t="str">
        <f>'Lineare Korrektur'!E20</f>
        <v/>
      </c>
      <c r="I374" s="688" t="str">
        <f>'Lineare Korrektur'!F20</f>
        <v/>
      </c>
      <c r="J374" s="688" t="str">
        <f>'Lineare Korrektur'!G20</f>
        <v/>
      </c>
      <c r="K374" s="687" t="str">
        <f>'Lineare Korrektur'!H20</f>
        <v/>
      </c>
      <c r="L374" s="558" t="str">
        <f>'Lineare Korrektur'!I20</f>
        <v/>
      </c>
      <c r="M374" s="888" t="e">
        <f t="shared" si="24"/>
        <v>#VALUE!</v>
      </c>
      <c r="N374" s="889" t="e">
        <f t="shared" si="25"/>
        <v>#N/A</v>
      </c>
      <c r="O374" s="305"/>
      <c r="P374" s="599"/>
      <c r="Q374" s="2938"/>
      <c r="R374" s="306"/>
      <c r="S374" s="306"/>
      <c r="T374" s="306"/>
      <c r="U374" s="306"/>
      <c r="V374" s="306"/>
      <c r="W374" s="306"/>
      <c r="X374" s="306"/>
      <c r="Y374" s="306"/>
      <c r="Z374" s="1469"/>
    </row>
    <row r="375" spans="2:26">
      <c r="B375" s="4" t="str">
        <f t="shared" si="26"/>
        <v>korrigiert (5)</v>
      </c>
      <c r="C375" s="686" t="str">
        <f>'Lineare Korrektur'!B22</f>
        <v/>
      </c>
      <c r="D375" s="686" t="str">
        <f>'Lineare Korrektur'!A23</f>
        <v>korrigiert (5)</v>
      </c>
      <c r="E375" s="958" t="str">
        <f>'Lineare Korrektur'!B23</f>
        <v/>
      </c>
      <c r="F375" s="988" t="str">
        <f>'Lineare Korrektur'!C23</f>
        <v/>
      </c>
      <c r="G375" s="1674" t="str">
        <f>'Lineare Korrektur'!D23</f>
        <v/>
      </c>
      <c r="H375" s="687" t="str">
        <f>'Lineare Korrektur'!E23</f>
        <v/>
      </c>
      <c r="I375" s="688" t="str">
        <f>'Lineare Korrektur'!F23</f>
        <v/>
      </c>
      <c r="J375" s="688" t="str">
        <f>'Lineare Korrektur'!G23</f>
        <v/>
      </c>
      <c r="K375" s="687" t="str">
        <f>'Lineare Korrektur'!H23</f>
        <v/>
      </c>
      <c r="L375" s="558" t="str">
        <f>'Lineare Korrektur'!I23</f>
        <v/>
      </c>
      <c r="M375" s="888" t="e">
        <f t="shared" si="24"/>
        <v>#VALUE!</v>
      </c>
      <c r="N375" s="889" t="e">
        <f t="shared" si="25"/>
        <v>#N/A</v>
      </c>
      <c r="O375" s="305"/>
      <c r="P375" s="599"/>
      <c r="Q375" s="2938"/>
      <c r="R375" s="306"/>
      <c r="S375" s="306"/>
      <c r="T375" s="306"/>
      <c r="U375" s="306"/>
      <c r="V375" s="306"/>
      <c r="W375" s="306"/>
      <c r="X375" s="306"/>
      <c r="Y375" s="306"/>
      <c r="Z375" s="1469"/>
    </row>
    <row r="376" spans="2:26">
      <c r="B376" s="4" t="str">
        <f t="shared" si="26"/>
        <v>korrigiert (6)</v>
      </c>
      <c r="C376" s="686" t="str">
        <f>'Lineare Korrektur'!B25</f>
        <v/>
      </c>
      <c r="D376" s="686" t="str">
        <f>'Lineare Korrektur'!A26</f>
        <v>korrigiert (6)</v>
      </c>
      <c r="E376" s="958" t="str">
        <f>'Lineare Korrektur'!B26</f>
        <v/>
      </c>
      <c r="F376" s="988" t="str">
        <f>'Lineare Korrektur'!C26</f>
        <v/>
      </c>
      <c r="G376" s="1674" t="str">
        <f>'Lineare Korrektur'!D26</f>
        <v/>
      </c>
      <c r="H376" s="687" t="str">
        <f>'Lineare Korrektur'!E26</f>
        <v/>
      </c>
      <c r="I376" s="688" t="str">
        <f>'Lineare Korrektur'!F26</f>
        <v/>
      </c>
      <c r="J376" s="688" t="str">
        <f>'Lineare Korrektur'!G26</f>
        <v/>
      </c>
      <c r="K376" s="687" t="str">
        <f>'Lineare Korrektur'!H26</f>
        <v/>
      </c>
      <c r="L376" s="558" t="str">
        <f>'Lineare Korrektur'!I26</f>
        <v/>
      </c>
      <c r="M376" s="888" t="e">
        <f t="shared" si="24"/>
        <v>#VALUE!</v>
      </c>
      <c r="N376" s="889" t="e">
        <f t="shared" si="25"/>
        <v>#N/A</v>
      </c>
      <c r="O376" s="305"/>
      <c r="P376" s="599"/>
      <c r="Q376" s="2938"/>
      <c r="R376" s="306"/>
      <c r="S376" s="306"/>
      <c r="T376" s="306"/>
      <c r="U376" s="306"/>
      <c r="V376" s="306"/>
      <c r="W376" s="306"/>
      <c r="X376" s="306"/>
      <c r="Y376" s="306"/>
      <c r="Z376" s="1469"/>
    </row>
    <row r="377" spans="2:26">
      <c r="B377" s="4" t="str">
        <f t="shared" si="26"/>
        <v>korrigiert (7)</v>
      </c>
      <c r="C377" s="686" t="str">
        <f>'Lineare Korrektur'!B28</f>
        <v/>
      </c>
      <c r="D377" s="686" t="str">
        <f>'Lineare Korrektur'!A29</f>
        <v>korrigiert (7)</v>
      </c>
      <c r="E377" s="958" t="str">
        <f>'Lineare Korrektur'!B29</f>
        <v/>
      </c>
      <c r="F377" s="988" t="str">
        <f>'Lineare Korrektur'!C29</f>
        <v/>
      </c>
      <c r="G377" s="1674" t="str">
        <f>'Lineare Korrektur'!D29</f>
        <v/>
      </c>
      <c r="H377" s="687" t="str">
        <f>'Lineare Korrektur'!E29</f>
        <v/>
      </c>
      <c r="I377" s="688" t="str">
        <f>'Lineare Korrektur'!F29</f>
        <v/>
      </c>
      <c r="J377" s="688" t="str">
        <f>'Lineare Korrektur'!G29</f>
        <v/>
      </c>
      <c r="K377" s="687" t="str">
        <f>'Lineare Korrektur'!H29</f>
        <v/>
      </c>
      <c r="L377" s="558" t="str">
        <f>'Lineare Korrektur'!I29</f>
        <v/>
      </c>
      <c r="M377" s="888" t="e">
        <f t="shared" si="24"/>
        <v>#VALUE!</v>
      </c>
      <c r="N377" s="2958" t="e">
        <f t="shared" si="25"/>
        <v>#N/A</v>
      </c>
      <c r="O377" s="305"/>
      <c r="P377" s="599"/>
      <c r="Q377" s="2938"/>
      <c r="R377" s="306"/>
      <c r="S377" s="306"/>
      <c r="T377" s="306"/>
      <c r="U377" s="306"/>
      <c r="V377" s="306"/>
      <c r="W377" s="306"/>
      <c r="X377" s="306"/>
      <c r="Y377" s="306"/>
      <c r="Z377" s="1469"/>
    </row>
    <row r="378" spans="2:26">
      <c r="B378" s="4" t="str">
        <f t="shared" si="26"/>
        <v>mittlere Futtergehalte unten berechnen + rechts eingeben</v>
      </c>
      <c r="C378" s="686" t="str">
        <f>'Lineare Korrektur'!B31</f>
        <v>zsp</v>
      </c>
      <c r="D378" s="686" t="str">
        <f>'Lineare Korrektur'!A32</f>
        <v>korrigiert (8)</v>
      </c>
      <c r="E378" s="958" t="str">
        <f>'Lineare Korrektur'!B32</f>
        <v>lk8</v>
      </c>
      <c r="F378" s="988" t="str">
        <f>'Lineare Korrektur'!C32</f>
        <v>mittlere Futtergehalte unten berechnen + rechts eingeben</v>
      </c>
      <c r="G378" s="1674" t="str">
        <f>'Lineare Korrektur'!D32</f>
        <v>Platz</v>
      </c>
      <c r="H378" s="687">
        <f>'Lineare Korrektur'!E32</f>
        <v>0</v>
      </c>
      <c r="I378" s="688" t="e">
        <f>'Lineare Korrektur'!F32</f>
        <v>#VALUE!</v>
      </c>
      <c r="J378" s="688" t="e">
        <f>'Lineare Korrektur'!G32</f>
        <v>#VALUE!</v>
      </c>
      <c r="K378" s="687" t="str">
        <f>'Lineare Korrektur'!H32</f>
        <v/>
      </c>
      <c r="L378" s="558" t="str">
        <f>'Lineare Korrektur'!I32</f>
        <v/>
      </c>
      <c r="M378" s="888" t="e">
        <f t="shared" si="24"/>
        <v>#VALUE!</v>
      </c>
      <c r="N378" s="2958">
        <f t="shared" si="25"/>
        <v>1</v>
      </c>
      <c r="O378" s="305"/>
      <c r="P378" s="599"/>
      <c r="Q378" s="2938"/>
      <c r="R378" s="306"/>
      <c r="S378" s="306"/>
      <c r="T378" s="306"/>
      <c r="U378" s="306"/>
      <c r="V378" s="306"/>
      <c r="W378" s="306"/>
      <c r="X378" s="306"/>
      <c r="Y378" s="306"/>
      <c r="Z378" s="1469"/>
    </row>
    <row r="379" spans="2:26">
      <c r="B379" s="1204" t="s">
        <v>1403</v>
      </c>
      <c r="D379" s="694"/>
      <c r="E379" s="704" t="s">
        <v>1402</v>
      </c>
      <c r="F379" s="900"/>
      <c r="G379" s="706"/>
      <c r="H379" s="705"/>
      <c r="I379" s="707"/>
      <c r="J379" s="705"/>
      <c r="K379" s="705"/>
      <c r="L379" s="705"/>
      <c r="M379" s="886"/>
      <c r="N379" s="2959"/>
      <c r="O379" s="305"/>
      <c r="P379" s="599"/>
      <c r="Q379" s="2938"/>
      <c r="R379" s="306"/>
      <c r="S379" s="1976" t="s">
        <v>563</v>
      </c>
      <c r="T379" s="306"/>
      <c r="U379" s="306"/>
      <c r="V379" s="306"/>
      <c r="W379" s="306"/>
      <c r="X379" s="306"/>
      <c r="Y379" s="306"/>
      <c r="Z379" s="1469"/>
    </row>
    <row r="380" spans="2:26">
      <c r="B380" s="4" t="str">
        <f t="shared" ref="B380:B391" si="27">F380</f>
        <v>IE Mastschweine</v>
      </c>
      <c r="D380" s="694"/>
      <c r="E380" s="946" t="s">
        <v>197</v>
      </c>
      <c r="F380" s="978" t="s">
        <v>182</v>
      </c>
      <c r="G380" s="1675">
        <v>1</v>
      </c>
      <c r="H380" s="539"/>
      <c r="I380" s="682"/>
      <c r="J380" s="558"/>
      <c r="K380" s="558"/>
      <c r="L380" s="558"/>
      <c r="M380" s="888"/>
      <c r="N380" s="2960">
        <v>1</v>
      </c>
      <c r="O380" s="305"/>
      <c r="P380" s="599"/>
      <c r="Q380" s="1428" t="s">
        <v>163</v>
      </c>
      <c r="R380" s="306"/>
      <c r="S380" s="597"/>
      <c r="T380" s="306"/>
      <c r="U380" s="306"/>
      <c r="V380" s="306"/>
      <c r="W380" s="306"/>
      <c r="X380" s="306"/>
      <c r="Y380" s="306"/>
      <c r="Z380" s="1469"/>
    </row>
    <row r="381" spans="2:26">
      <c r="B381" s="4" t="str">
        <f t="shared" si="27"/>
        <v>IE Zuchtschw. inkl. Ferkel bis 25 kg</v>
      </c>
      <c r="D381" s="694"/>
      <c r="E381" s="946" t="s">
        <v>198</v>
      </c>
      <c r="F381" s="978" t="s">
        <v>981</v>
      </c>
      <c r="G381" s="1675">
        <v>1</v>
      </c>
      <c r="H381" s="539"/>
      <c r="I381" s="682"/>
      <c r="J381" s="558"/>
      <c r="K381" s="558"/>
      <c r="L381" s="558"/>
      <c r="M381" s="888"/>
      <c r="N381" s="2960">
        <v>1</v>
      </c>
      <c r="O381" s="305"/>
      <c r="P381" s="599"/>
      <c r="Q381" s="1428" t="s">
        <v>163</v>
      </c>
      <c r="R381" s="306"/>
      <c r="S381" s="306"/>
      <c r="T381" s="306"/>
      <c r="U381" s="306"/>
      <c r="V381" s="306"/>
      <c r="W381" s="306"/>
      <c r="X381" s="306"/>
      <c r="Y381" s="306"/>
      <c r="Z381" s="1469"/>
    </row>
    <row r="382" spans="2:26">
      <c r="B382" s="4" t="str">
        <f t="shared" si="27"/>
        <v>IE Schweine</v>
      </c>
      <c r="D382" s="694"/>
      <c r="E382" s="946" t="s">
        <v>711</v>
      </c>
      <c r="F382" s="978" t="s">
        <v>710</v>
      </c>
      <c r="G382" s="1675">
        <v>1</v>
      </c>
      <c r="H382" s="539"/>
      <c r="I382" s="682"/>
      <c r="J382" s="558"/>
      <c r="K382" s="558"/>
      <c r="L382" s="558"/>
      <c r="M382" s="888"/>
      <c r="N382" s="2960">
        <v>1</v>
      </c>
      <c r="O382" s="305"/>
      <c r="P382" s="599"/>
      <c r="Q382" s="1428" t="s">
        <v>163</v>
      </c>
      <c r="R382" s="306"/>
      <c r="S382" s="306"/>
      <c r="T382" s="306"/>
      <c r="U382" s="306"/>
      <c r="V382" s="306"/>
      <c r="W382" s="306"/>
      <c r="X382" s="306"/>
      <c r="Y382" s="306"/>
      <c r="Z382" s="1469"/>
    </row>
    <row r="383" spans="2:26">
      <c r="B383" s="4" t="str">
        <f t="shared" si="27"/>
        <v>IE Galtsauen</v>
      </c>
      <c r="D383" s="694"/>
      <c r="E383" s="946" t="s">
        <v>199</v>
      </c>
      <c r="F383" s="978" t="s">
        <v>183</v>
      </c>
      <c r="G383" s="1675">
        <v>1</v>
      </c>
      <c r="H383" s="539"/>
      <c r="I383" s="682"/>
      <c r="J383" s="558"/>
      <c r="K383" s="558"/>
      <c r="L383" s="558"/>
      <c r="M383" s="888"/>
      <c r="N383" s="2960">
        <v>1</v>
      </c>
      <c r="O383" s="305"/>
      <c r="P383" s="599"/>
      <c r="Q383" s="1428" t="s">
        <v>163</v>
      </c>
      <c r="R383" s="306"/>
      <c r="S383" s="306"/>
      <c r="T383" s="306"/>
      <c r="U383" s="306"/>
      <c r="V383" s="306"/>
      <c r="W383" s="306"/>
      <c r="X383" s="306"/>
      <c r="Y383" s="306"/>
      <c r="Z383" s="1469"/>
    </row>
    <row r="384" spans="2:26">
      <c r="B384" s="4" t="str">
        <f t="shared" si="27"/>
        <v>IE säugende Zuchtsauen</v>
      </c>
      <c r="D384" s="694"/>
      <c r="E384" s="946" t="s">
        <v>1394</v>
      </c>
      <c r="F384" s="978" t="s">
        <v>184</v>
      </c>
      <c r="G384" s="1675">
        <v>1</v>
      </c>
      <c r="H384" s="539"/>
      <c r="I384" s="682"/>
      <c r="J384" s="558"/>
      <c r="K384" s="558"/>
      <c r="L384" s="558"/>
      <c r="M384" s="888"/>
      <c r="N384" s="2960">
        <v>1</v>
      </c>
      <c r="O384" s="305"/>
      <c r="P384" s="599"/>
      <c r="Q384" s="1428" t="s">
        <v>163</v>
      </c>
      <c r="R384" s="306"/>
      <c r="S384" s="306"/>
      <c r="T384" s="306"/>
      <c r="U384" s="306"/>
      <c r="V384" s="306"/>
      <c r="W384" s="306"/>
      <c r="X384" s="306"/>
      <c r="Y384" s="306"/>
      <c r="Z384" s="1469"/>
    </row>
    <row r="385" spans="1:26">
      <c r="B385" s="4" t="str">
        <f t="shared" si="27"/>
        <v>IE abgesetzte Ferkel</v>
      </c>
      <c r="D385" s="694"/>
      <c r="E385" s="946" t="s">
        <v>1395</v>
      </c>
      <c r="F385" s="978" t="s">
        <v>185</v>
      </c>
      <c r="G385" s="1675">
        <v>1</v>
      </c>
      <c r="H385" s="539"/>
      <c r="I385" s="682"/>
      <c r="J385" s="558"/>
      <c r="K385" s="558"/>
      <c r="L385" s="558"/>
      <c r="M385" s="888"/>
      <c r="N385" s="2960">
        <v>1</v>
      </c>
      <c r="O385" s="305"/>
      <c r="P385" s="599"/>
      <c r="Q385" s="1428" t="s">
        <v>163</v>
      </c>
      <c r="R385" s="306"/>
      <c r="S385" s="306"/>
      <c r="T385" s="306"/>
      <c r="U385" s="306"/>
      <c r="V385" s="306"/>
      <c r="W385" s="306"/>
      <c r="X385" s="306"/>
      <c r="Y385" s="306"/>
      <c r="Z385" s="1469"/>
    </row>
    <row r="386" spans="1:26">
      <c r="B386" s="4" t="str">
        <f t="shared" si="27"/>
        <v>IE Junghennen</v>
      </c>
      <c r="D386" s="694"/>
      <c r="E386" s="946" t="s">
        <v>1396</v>
      </c>
      <c r="F386" s="978" t="s">
        <v>196</v>
      </c>
      <c r="G386" s="1675">
        <v>1</v>
      </c>
      <c r="H386" s="539"/>
      <c r="I386" s="682"/>
      <c r="J386" s="558"/>
      <c r="K386" s="558"/>
      <c r="L386" s="558"/>
      <c r="M386" s="888"/>
      <c r="N386" s="2960">
        <v>0</v>
      </c>
      <c r="O386" s="305"/>
      <c r="P386" s="599"/>
      <c r="Q386" s="2938"/>
      <c r="R386" s="306"/>
      <c r="S386" s="306"/>
      <c r="T386" s="306"/>
      <c r="U386" s="306"/>
      <c r="V386" s="306"/>
      <c r="W386" s="306"/>
      <c r="X386" s="306"/>
      <c r="Y386" s="306"/>
      <c r="Z386" s="1469"/>
    </row>
    <row r="387" spans="1:26">
      <c r="B387" s="4" t="str">
        <f t="shared" si="27"/>
        <v>IE Mastpoulets</v>
      </c>
      <c r="D387" s="694"/>
      <c r="E387" s="946" t="s">
        <v>1397</v>
      </c>
      <c r="F387" s="978" t="s">
        <v>195</v>
      </c>
      <c r="G387" s="1675">
        <v>1</v>
      </c>
      <c r="H387" s="539"/>
      <c r="I387" s="682"/>
      <c r="J387" s="558"/>
      <c r="K387" s="558"/>
      <c r="L387" s="558"/>
      <c r="M387" s="888"/>
      <c r="N387" s="2960">
        <v>0</v>
      </c>
      <c r="O387" s="305"/>
      <c r="P387" s="599"/>
      <c r="Q387" s="2938"/>
      <c r="R387" s="306"/>
      <c r="S387" s="306"/>
      <c r="T387" s="306"/>
      <c r="U387" s="306"/>
      <c r="V387" s="306"/>
      <c r="W387" s="306"/>
      <c r="X387" s="306"/>
      <c r="Y387" s="306"/>
      <c r="Z387" s="1469"/>
    </row>
    <row r="388" spans="1:26">
      <c r="B388" s="4" t="str">
        <f t="shared" si="27"/>
        <v>IE Masttruten</v>
      </c>
      <c r="D388" s="694"/>
      <c r="E388" s="946" t="s">
        <v>1398</v>
      </c>
      <c r="F388" s="978" t="s">
        <v>194</v>
      </c>
      <c r="G388" s="1675">
        <v>1</v>
      </c>
      <c r="H388" s="539"/>
      <c r="I388" s="682"/>
      <c r="J388" s="558"/>
      <c r="K388" s="558"/>
      <c r="L388" s="558"/>
      <c r="M388" s="888"/>
      <c r="N388" s="2960">
        <v>0</v>
      </c>
      <c r="O388" s="305"/>
      <c r="P388" s="599"/>
      <c r="Q388" s="2938"/>
      <c r="R388" s="306"/>
      <c r="S388" s="306"/>
      <c r="T388" s="306"/>
      <c r="U388" s="306"/>
      <c r="V388" s="306"/>
      <c r="W388" s="306"/>
      <c r="X388" s="306"/>
      <c r="Y388" s="306"/>
      <c r="Z388" s="1469"/>
    </row>
    <row r="389" spans="1:26">
      <c r="A389" s="2940"/>
      <c r="B389" s="2940" t="str">
        <f t="shared" si="27"/>
        <v>IE Mastkälber</v>
      </c>
      <c r="C389" s="2940"/>
      <c r="D389" s="2941"/>
      <c r="E389" s="2930" t="s">
        <v>1950</v>
      </c>
      <c r="F389" s="2931" t="s">
        <v>1951</v>
      </c>
      <c r="G389" s="1675">
        <v>1</v>
      </c>
      <c r="H389" s="2932"/>
      <c r="I389" s="2933"/>
      <c r="J389" s="2934"/>
      <c r="K389" s="2934"/>
      <c r="L389" s="2934"/>
      <c r="M389" s="2935"/>
      <c r="N389" s="2961">
        <v>1</v>
      </c>
      <c r="O389" s="2936"/>
      <c r="P389" s="2937"/>
      <c r="Q389" s="2939" t="s">
        <v>299</v>
      </c>
      <c r="R389" s="306"/>
      <c r="S389" s="306"/>
      <c r="T389" s="306"/>
      <c r="U389" s="306"/>
      <c r="V389" s="306"/>
      <c r="W389" s="306"/>
      <c r="X389" s="306"/>
      <c r="Y389" s="306"/>
      <c r="Z389" s="1469"/>
    </row>
    <row r="390" spans="1:26">
      <c r="B390" s="4" t="str">
        <f t="shared" si="27"/>
        <v>IE Prod. Zibbe (inkl. Jungtiere bis ca. 35 d)</v>
      </c>
      <c r="D390" s="694"/>
      <c r="E390" s="946" t="s">
        <v>1399</v>
      </c>
      <c r="F390" s="978" t="s">
        <v>641</v>
      </c>
      <c r="G390" s="1675">
        <v>1</v>
      </c>
      <c r="H390" s="539"/>
      <c r="I390" s="682"/>
      <c r="J390" s="558"/>
      <c r="K390" s="558"/>
      <c r="L390" s="558"/>
      <c r="M390" s="888"/>
      <c r="N390" s="2960">
        <v>1</v>
      </c>
      <c r="O390" s="305"/>
      <c r="P390" s="599"/>
      <c r="Q390" s="1428" t="s">
        <v>163</v>
      </c>
      <c r="R390" s="306"/>
      <c r="S390" s="306"/>
      <c r="T390" s="306"/>
      <c r="U390" s="306"/>
      <c r="V390" s="306"/>
      <c r="W390" s="306"/>
      <c r="X390" s="306"/>
      <c r="Y390" s="306"/>
      <c r="Z390" s="1469"/>
    </row>
    <row r="391" spans="1:26" ht="13.5" thickBot="1">
      <c r="B391" s="4" t="str">
        <f t="shared" si="27"/>
        <v>IE Kaninchen-Jungtier, ab 35 d</v>
      </c>
      <c r="D391" s="694"/>
      <c r="E391" s="946" t="s">
        <v>1400</v>
      </c>
      <c r="F391" s="978" t="s">
        <v>186</v>
      </c>
      <c r="G391" s="1675">
        <v>1</v>
      </c>
      <c r="H391" s="539"/>
      <c r="I391" s="682"/>
      <c r="J391" s="558"/>
      <c r="K391" s="558"/>
      <c r="L391" s="558"/>
      <c r="M391" s="888"/>
      <c r="N391" s="2960">
        <v>1</v>
      </c>
      <c r="O391" s="305" t="s">
        <v>1414</v>
      </c>
      <c r="P391" s="599"/>
      <c r="Q391" s="1428" t="s">
        <v>163</v>
      </c>
      <c r="R391" s="306"/>
      <c r="S391" s="306"/>
      <c r="T391" s="306"/>
      <c r="U391" s="306"/>
      <c r="V391" s="306"/>
      <c r="W391" s="306"/>
      <c r="X391" s="306"/>
      <c r="Y391" s="306"/>
      <c r="Z391" s="1469"/>
    </row>
    <row r="392" spans="1:26" ht="13.5" thickBot="1">
      <c r="A392" s="662" t="s">
        <v>1423</v>
      </c>
      <c r="B392" s="662" t="s">
        <v>1423</v>
      </c>
      <c r="C392" s="662" t="s">
        <v>1423</v>
      </c>
      <c r="D392" s="662" t="s">
        <v>1423</v>
      </c>
      <c r="E392" s="1489"/>
      <c r="F392" s="1490"/>
      <c r="G392" s="1491"/>
      <c r="H392" s="1491"/>
      <c r="I392" s="1492"/>
      <c r="J392" s="371"/>
      <c r="K392" s="371"/>
      <c r="L392" s="371"/>
      <c r="M392" s="371"/>
      <c r="N392" s="2962"/>
      <c r="O392" s="371"/>
      <c r="P392" s="1429" t="s">
        <v>54</v>
      </c>
      <c r="Q392" s="1430" t="s">
        <v>54</v>
      </c>
      <c r="R392" s="306"/>
      <c r="S392" s="306"/>
      <c r="T392" s="306"/>
      <c r="U392" s="306"/>
      <c r="V392" s="306"/>
      <c r="W392" s="306"/>
      <c r="X392" s="1681" t="s">
        <v>1424</v>
      </c>
      <c r="Y392" s="306"/>
      <c r="Z392" s="1681" t="s">
        <v>1424</v>
      </c>
    </row>
    <row r="393" spans="1:26">
      <c r="D393" s="306"/>
      <c r="E393" s="355"/>
      <c r="F393" s="306"/>
      <c r="G393" s="306"/>
      <c r="H393" s="306"/>
      <c r="I393" s="306"/>
      <c r="J393" s="306"/>
      <c r="K393" s="306"/>
      <c r="L393" s="306"/>
      <c r="M393" s="306"/>
      <c r="N393" s="306"/>
      <c r="O393" s="306"/>
      <c r="P393" s="306"/>
      <c r="Q393" s="306"/>
      <c r="R393" s="306"/>
      <c r="S393" s="306"/>
      <c r="T393" s="306"/>
      <c r="U393" s="306"/>
      <c r="V393" s="306"/>
      <c r="W393" s="306"/>
      <c r="X393" s="306"/>
      <c r="Y393" s="306"/>
      <c r="Z393" s="1469"/>
    </row>
    <row r="394" spans="1:26">
      <c r="D394" s="306"/>
      <c r="P394" s="306"/>
      <c r="Q394" s="306"/>
      <c r="R394" s="306"/>
      <c r="S394" s="306"/>
      <c r="T394" s="306"/>
      <c r="U394" s="306"/>
      <c r="V394" s="306"/>
      <c r="W394" s="306"/>
      <c r="X394" s="306"/>
      <c r="Y394" s="306"/>
      <c r="Z394" s="1469"/>
    </row>
    <row r="395" spans="1:26">
      <c r="D395" s="306"/>
      <c r="P395" s="306"/>
      <c r="Q395" s="306"/>
      <c r="R395" s="306"/>
      <c r="S395" s="306"/>
      <c r="T395" s="306"/>
      <c r="U395" s="306"/>
      <c r="V395" s="306"/>
      <c r="W395" s="306"/>
      <c r="X395" s="306"/>
      <c r="Y395" s="306"/>
      <c r="Z395" s="1469"/>
    </row>
    <row r="396" spans="1:26">
      <c r="D396" s="306"/>
      <c r="P396" s="306"/>
      <c r="Q396" s="306"/>
      <c r="R396" s="306"/>
      <c r="S396" s="306"/>
      <c r="T396" s="306"/>
      <c r="U396" s="306"/>
      <c r="V396" s="306"/>
      <c r="W396" s="306"/>
      <c r="X396" s="306"/>
      <c r="Y396" s="306"/>
      <c r="Z396" s="1469"/>
    </row>
    <row r="397" spans="1:26">
      <c r="D397" s="306"/>
      <c r="P397" s="306"/>
      <c r="Q397" s="306"/>
      <c r="R397" s="306"/>
      <c r="S397" s="306"/>
      <c r="T397" s="306"/>
      <c r="U397" s="306"/>
      <c r="V397" s="306"/>
      <c r="W397" s="306"/>
      <c r="X397" s="306"/>
      <c r="Y397" s="306"/>
      <c r="Z397" s="1469"/>
    </row>
    <row r="398" spans="1:26">
      <c r="D398" s="306"/>
      <c r="E398" s="355"/>
      <c r="F398" s="306"/>
      <c r="G398" s="355"/>
      <c r="H398" s="306"/>
      <c r="I398" s="306"/>
      <c r="J398" s="306"/>
      <c r="K398" s="306"/>
      <c r="L398" s="306"/>
      <c r="M398" s="306"/>
      <c r="N398" s="306"/>
      <c r="O398" s="306"/>
      <c r="P398" s="306"/>
      <c r="Q398" s="306"/>
      <c r="R398" s="306"/>
      <c r="S398" s="306"/>
      <c r="T398" s="306"/>
      <c r="U398" s="306"/>
      <c r="V398" s="306"/>
      <c r="W398" s="306"/>
      <c r="X398" s="306"/>
      <c r="Y398" s="306"/>
      <c r="Z398" s="1469"/>
    </row>
    <row r="399" spans="1:26">
      <c r="C399" s="306" t="s">
        <v>1703</v>
      </c>
      <c r="D399" s="306"/>
      <c r="E399" s="355" t="s">
        <v>33</v>
      </c>
      <c r="F399" s="306"/>
      <c r="G399" s="306"/>
      <c r="H399" s="306"/>
      <c r="I399" s="306"/>
      <c r="J399" s="691"/>
      <c r="K399" s="3483" t="s">
        <v>117</v>
      </c>
      <c r="L399" s="3484"/>
      <c r="M399" s="306"/>
      <c r="N399" s="306"/>
      <c r="O399" s="306"/>
      <c r="P399" s="306"/>
      <c r="Q399" s="306"/>
      <c r="R399" s="306"/>
      <c r="S399" s="306"/>
      <c r="T399" s="306"/>
      <c r="U399" s="306"/>
      <c r="V399" s="306"/>
      <c r="W399" s="306"/>
      <c r="X399" s="306"/>
      <c r="Y399" s="306"/>
      <c r="Z399" s="1469"/>
    </row>
    <row r="400" spans="1:26">
      <c r="D400" s="306"/>
      <c r="E400" s="320" t="s">
        <v>22</v>
      </c>
      <c r="F400" s="355"/>
      <c r="G400" s="355"/>
      <c r="H400" s="355"/>
      <c r="I400" s="306"/>
      <c r="J400" s="692" t="s">
        <v>1426</v>
      </c>
      <c r="K400" s="3477" t="s">
        <v>1427</v>
      </c>
      <c r="L400" s="3478"/>
      <c r="M400" s="306"/>
      <c r="N400" s="306"/>
      <c r="O400" s="306"/>
      <c r="P400" s="306"/>
      <c r="Q400" s="306"/>
      <c r="R400" s="306"/>
      <c r="S400" s="306"/>
      <c r="T400" s="306"/>
      <c r="U400" s="306"/>
      <c r="V400" s="306"/>
      <c r="W400" s="306"/>
      <c r="X400" s="306"/>
      <c r="Y400" s="306"/>
      <c r="Z400" s="1469"/>
    </row>
    <row r="401" spans="1:26">
      <c r="D401" s="306"/>
      <c r="E401" s="306"/>
      <c r="F401" s="306"/>
      <c r="G401" s="355"/>
      <c r="H401" s="306"/>
      <c r="I401" s="306"/>
      <c r="J401" s="693" t="s">
        <v>1427</v>
      </c>
      <c r="K401" s="689" t="s">
        <v>1440</v>
      </c>
      <c r="L401" s="689" t="s">
        <v>1441</v>
      </c>
      <c r="M401" s="306"/>
      <c r="N401" s="306"/>
      <c r="O401" s="306"/>
      <c r="P401" s="306"/>
      <c r="Q401" s="306"/>
      <c r="R401" s="306"/>
      <c r="S401" s="306"/>
      <c r="T401" s="306"/>
      <c r="U401" s="306"/>
      <c r="V401" s="306"/>
      <c r="W401" s="306"/>
      <c r="X401" s="306"/>
      <c r="Y401" s="306"/>
      <c r="Z401" s="1469"/>
    </row>
    <row r="402" spans="1:26">
      <c r="D402" s="306"/>
      <c r="E402" s="694"/>
      <c r="F402" s="695"/>
      <c r="G402" s="696"/>
      <c r="H402" s="306"/>
      <c r="I402" s="694"/>
      <c r="J402" s="697">
        <v>0</v>
      </c>
      <c r="K402" s="690">
        <v>0</v>
      </c>
      <c r="L402" s="690">
        <v>0</v>
      </c>
      <c r="M402" s="306"/>
      <c r="N402" s="306"/>
      <c r="O402" s="306"/>
      <c r="P402" s="306"/>
      <c r="Q402" s="306"/>
      <c r="R402" s="306"/>
      <c r="S402" s="306"/>
      <c r="T402" s="306"/>
      <c r="U402" s="306"/>
      <c r="V402" s="306"/>
      <c r="W402" s="306"/>
      <c r="X402" s="306"/>
      <c r="Y402" s="306"/>
      <c r="Z402" s="1469"/>
    </row>
    <row r="403" spans="1:26">
      <c r="D403" s="306"/>
      <c r="E403" s="694"/>
      <c r="F403" s="695"/>
      <c r="G403" s="696"/>
      <c r="H403" s="306"/>
      <c r="I403" s="694"/>
      <c r="J403" s="697">
        <v>3000</v>
      </c>
      <c r="K403" s="690">
        <v>0</v>
      </c>
      <c r="L403" s="690">
        <v>500</v>
      </c>
      <c r="M403" s="306"/>
      <c r="N403" s="306"/>
      <c r="O403" s="306"/>
      <c r="P403" s="306"/>
      <c r="Q403" s="306"/>
      <c r="R403" s="306"/>
      <c r="S403" s="306"/>
      <c r="T403" s="306"/>
      <c r="U403" s="306"/>
      <c r="V403" s="306"/>
      <c r="W403" s="306"/>
      <c r="X403" s="306"/>
      <c r="Y403" s="306"/>
      <c r="Z403" s="1469"/>
    </row>
    <row r="404" spans="1:26">
      <c r="D404" s="306"/>
      <c r="E404" s="694"/>
      <c r="F404" s="695"/>
      <c r="G404" s="696"/>
      <c r="H404" s="306"/>
      <c r="I404" s="694"/>
      <c r="J404" s="697">
        <v>6000</v>
      </c>
      <c r="K404" s="690">
        <v>100</v>
      </c>
      <c r="L404" s="690">
        <v>700</v>
      </c>
      <c r="M404" s="306"/>
      <c r="N404" s="306"/>
      <c r="O404" s="306"/>
      <c r="P404" s="306"/>
      <c r="Q404" s="306"/>
      <c r="R404" s="306"/>
      <c r="S404" s="306"/>
      <c r="T404" s="306"/>
      <c r="U404" s="306"/>
      <c r="V404" s="306"/>
      <c r="W404" s="306"/>
      <c r="X404" s="306"/>
      <c r="Y404" s="306"/>
      <c r="Z404" s="1469"/>
    </row>
    <row r="405" spans="1:26">
      <c r="D405" s="306"/>
      <c r="E405" s="694"/>
      <c r="F405" s="695"/>
      <c r="G405" s="696"/>
      <c r="H405" s="306"/>
      <c r="I405" s="694"/>
      <c r="J405" s="697">
        <v>7000</v>
      </c>
      <c r="K405" s="690">
        <v>300</v>
      </c>
      <c r="L405" s="690">
        <v>900</v>
      </c>
      <c r="M405" s="306"/>
      <c r="N405" s="306"/>
      <c r="O405" s="306"/>
      <c r="P405" s="306"/>
      <c r="Q405" s="306"/>
      <c r="R405" s="306"/>
      <c r="S405" s="306"/>
      <c r="T405" s="306"/>
      <c r="U405" s="306"/>
      <c r="V405" s="306"/>
      <c r="W405" s="306"/>
      <c r="X405" s="306"/>
      <c r="Y405" s="306"/>
      <c r="Z405" s="1469"/>
    </row>
    <row r="406" spans="1:26">
      <c r="D406" s="306"/>
      <c r="E406" s="694"/>
      <c r="F406" s="695"/>
      <c r="G406" s="696"/>
      <c r="H406" s="306"/>
      <c r="I406" s="694"/>
      <c r="J406" s="697">
        <v>8000</v>
      </c>
      <c r="K406" s="690">
        <v>500</v>
      </c>
      <c r="L406" s="690">
        <v>1100</v>
      </c>
      <c r="M406" s="306"/>
      <c r="N406" s="306"/>
      <c r="O406" s="306"/>
      <c r="P406" s="306"/>
      <c r="Q406" s="306"/>
      <c r="R406" s="306"/>
      <c r="S406" s="306"/>
      <c r="T406" s="306"/>
      <c r="U406" s="306"/>
      <c r="V406" s="306"/>
      <c r="W406" s="306"/>
      <c r="X406" s="306"/>
      <c r="Y406" s="306"/>
      <c r="Z406" s="1469"/>
    </row>
    <row r="407" spans="1:26">
      <c r="D407" s="306"/>
      <c r="E407" s="694"/>
      <c r="F407" s="695"/>
      <c r="G407" s="696"/>
      <c r="H407" s="306"/>
      <c r="I407" s="694"/>
      <c r="J407" s="697">
        <v>9000</v>
      </c>
      <c r="K407" s="690">
        <v>700</v>
      </c>
      <c r="L407" s="690">
        <v>1300</v>
      </c>
      <c r="M407" s="306"/>
      <c r="N407" s="306"/>
      <c r="O407" s="306"/>
      <c r="P407" s="306"/>
      <c r="Q407" s="306"/>
      <c r="R407" s="306"/>
      <c r="S407" s="306"/>
      <c r="T407" s="306"/>
      <c r="U407" s="306"/>
      <c r="V407" s="306"/>
      <c r="W407" s="306"/>
      <c r="X407" s="306"/>
      <c r="Y407" s="306"/>
      <c r="Z407" s="1469"/>
    </row>
    <row r="408" spans="1:26">
      <c r="D408" s="306"/>
      <c r="E408" s="694"/>
      <c r="F408" s="695"/>
      <c r="G408" s="696"/>
      <c r="H408" s="306"/>
      <c r="I408" s="694"/>
      <c r="J408" s="697">
        <v>10000</v>
      </c>
      <c r="K408" s="690">
        <v>900</v>
      </c>
      <c r="L408" s="690">
        <v>1600</v>
      </c>
      <c r="M408" s="306"/>
      <c r="N408" s="306"/>
      <c r="O408" s="306"/>
      <c r="P408" s="306"/>
      <c r="Q408" s="306"/>
      <c r="R408" s="306"/>
      <c r="S408" s="306"/>
      <c r="T408" s="306"/>
      <c r="U408" s="306"/>
      <c r="V408" s="306"/>
      <c r="W408" s="306"/>
      <c r="X408" s="306"/>
      <c r="Y408" s="306"/>
      <c r="Z408" s="1469"/>
    </row>
    <row r="409" spans="1:26">
      <c r="D409" s="306"/>
      <c r="E409" s="694"/>
      <c r="F409" s="695"/>
      <c r="G409" s="696"/>
      <c r="H409" s="306"/>
      <c r="I409" s="694"/>
      <c r="J409" s="697">
        <v>11000</v>
      </c>
      <c r="K409" s="690">
        <v>1100</v>
      </c>
      <c r="L409" s="690">
        <v>1900</v>
      </c>
      <c r="M409" s="306"/>
      <c r="N409" s="306"/>
      <c r="O409" s="306"/>
      <c r="P409" s="306"/>
      <c r="Q409" s="306"/>
      <c r="R409" s="306"/>
      <c r="S409" s="306"/>
      <c r="T409" s="306"/>
      <c r="U409" s="306"/>
      <c r="V409" s="306"/>
      <c r="W409" s="306"/>
      <c r="X409" s="306"/>
      <c r="Y409" s="306"/>
      <c r="Z409" s="1469"/>
    </row>
    <row r="410" spans="1:26">
      <c r="D410" s="306"/>
      <c r="E410" s="694"/>
      <c r="F410" s="695"/>
      <c r="G410" s="696"/>
      <c r="H410" s="306"/>
      <c r="I410" s="694"/>
      <c r="M410" s="306"/>
      <c r="N410" s="306"/>
      <c r="O410" s="306"/>
      <c r="P410" s="306"/>
      <c r="Q410" s="306"/>
      <c r="R410" s="306"/>
      <c r="S410" s="306"/>
      <c r="T410" s="306"/>
      <c r="U410" s="306"/>
      <c r="V410" s="306"/>
      <c r="W410" s="306"/>
      <c r="X410" s="306"/>
      <c r="Y410" s="306"/>
      <c r="Z410" s="1469"/>
    </row>
    <row r="411" spans="1:26">
      <c r="A411" s="662" t="s">
        <v>1430</v>
      </c>
      <c r="B411" s="662" t="s">
        <v>1430</v>
      </c>
      <c r="C411" s="662" t="s">
        <v>1430</v>
      </c>
      <c r="D411" s="662" t="s">
        <v>1430</v>
      </c>
      <c r="E411" s="662" t="s">
        <v>1430</v>
      </c>
      <c r="F411" s="662" t="s">
        <v>1430</v>
      </c>
      <c r="G411" s="662" t="s">
        <v>1430</v>
      </c>
      <c r="H411" s="662" t="s">
        <v>1430</v>
      </c>
      <c r="I411" s="662" t="s">
        <v>1430</v>
      </c>
      <c r="J411" s="662" t="s">
        <v>1430</v>
      </c>
      <c r="K411" s="662" t="s">
        <v>1430</v>
      </c>
      <c r="L411" s="662" t="s">
        <v>1430</v>
      </c>
      <c r="M411" s="662" t="s">
        <v>1430</v>
      </c>
      <c r="N411" s="662" t="s">
        <v>1430</v>
      </c>
      <c r="O411" s="662" t="s">
        <v>1430</v>
      </c>
      <c r="P411" s="662" t="s">
        <v>1430</v>
      </c>
      <c r="Q411" s="662" t="s">
        <v>1430</v>
      </c>
      <c r="R411" s="662" t="s">
        <v>1430</v>
      </c>
      <c r="S411" s="662" t="s">
        <v>1430</v>
      </c>
      <c r="T411" s="662" t="s">
        <v>1430</v>
      </c>
      <c r="U411" s="662" t="s">
        <v>1430</v>
      </c>
      <c r="V411" s="662" t="s">
        <v>1430</v>
      </c>
      <c r="W411" s="662" t="s">
        <v>1430</v>
      </c>
      <c r="X411" s="1680" t="s">
        <v>1430</v>
      </c>
      <c r="Y411" s="1680" t="s">
        <v>1430</v>
      </c>
      <c r="Z411" s="1681" t="s">
        <v>1424</v>
      </c>
    </row>
    <row r="412" spans="1:26">
      <c r="E412" s="662" t="s">
        <v>763</v>
      </c>
      <c r="Z412" s="662"/>
    </row>
    <row r="413" spans="1:26">
      <c r="E413" s="711" t="s">
        <v>52</v>
      </c>
      <c r="Z413" s="662"/>
    </row>
    <row r="414" spans="1:26">
      <c r="E414" s="662"/>
      <c r="Z414" s="662"/>
    </row>
    <row r="415" spans="1:26" ht="14.25">
      <c r="E415" s="662" t="s">
        <v>762</v>
      </c>
      <c r="Z415" s="662"/>
    </row>
    <row r="416" spans="1:26">
      <c r="E416" s="662" t="s">
        <v>584</v>
      </c>
      <c r="Z416" s="662"/>
    </row>
    <row r="417" spans="1:26">
      <c r="E417" s="662" t="s">
        <v>892</v>
      </c>
      <c r="Z417" s="662"/>
    </row>
    <row r="418" spans="1:26">
      <c r="E418" s="662" t="s">
        <v>128</v>
      </c>
      <c r="Z418" s="662"/>
    </row>
    <row r="419" spans="1:26">
      <c r="E419" s="662" t="s">
        <v>673</v>
      </c>
      <c r="Z419" s="662"/>
    </row>
    <row r="420" spans="1:26">
      <c r="E420" s="662" t="s">
        <v>761</v>
      </c>
      <c r="Z420" s="662"/>
    </row>
    <row r="421" spans="1:26">
      <c r="E421" s="662" t="s">
        <v>1213</v>
      </c>
      <c r="Z421" s="662"/>
    </row>
    <row r="422" spans="1:26">
      <c r="Z422" s="662"/>
    </row>
    <row r="423" spans="1:26">
      <c r="A423" s="662" t="s">
        <v>1430</v>
      </c>
      <c r="B423" s="662" t="s">
        <v>1430</v>
      </c>
      <c r="C423" s="662" t="s">
        <v>1430</v>
      </c>
      <c r="D423" s="662" t="s">
        <v>1430</v>
      </c>
      <c r="E423" s="1680" t="s">
        <v>1430</v>
      </c>
      <c r="F423" s="1680" t="s">
        <v>1430</v>
      </c>
      <c r="G423" s="1680" t="s">
        <v>1430</v>
      </c>
      <c r="H423" s="1680" t="s">
        <v>1430</v>
      </c>
      <c r="I423" s="1680" t="s">
        <v>1430</v>
      </c>
      <c r="J423" s="1680" t="s">
        <v>1430</v>
      </c>
      <c r="K423" s="662" t="s">
        <v>1430</v>
      </c>
      <c r="L423" s="1680" t="s">
        <v>1430</v>
      </c>
      <c r="M423" s="1680" t="s">
        <v>1430</v>
      </c>
      <c r="N423" s="1680" t="s">
        <v>1430</v>
      </c>
      <c r="O423" s="1680" t="s">
        <v>1430</v>
      </c>
      <c r="P423" s="1680" t="s">
        <v>1430</v>
      </c>
      <c r="Q423" s="1680" t="s">
        <v>1430</v>
      </c>
      <c r="R423" s="1681" t="s">
        <v>1424</v>
      </c>
      <c r="Z423" s="1681" t="s">
        <v>1424</v>
      </c>
    </row>
    <row r="424" spans="1:26">
      <c r="E424" s="339" t="s">
        <v>1155</v>
      </c>
      <c r="G424" s="1318" t="s">
        <v>1722</v>
      </c>
      <c r="H424" s="4" t="s">
        <v>365</v>
      </c>
      <c r="K424" s="4" t="s">
        <v>340</v>
      </c>
      <c r="L424" s="339"/>
      <c r="Z424" s="662"/>
    </row>
    <row r="425" spans="1:26">
      <c r="E425" s="1684" t="s">
        <v>100</v>
      </c>
      <c r="F425" s="1685"/>
      <c r="G425" s="1319" t="s">
        <v>113</v>
      </c>
      <c r="H425" s="1419" t="s">
        <v>359</v>
      </c>
      <c r="I425" s="1420" t="s">
        <v>360</v>
      </c>
      <c r="K425" s="1388">
        <v>1</v>
      </c>
      <c r="L425" s="4" t="s">
        <v>339</v>
      </c>
      <c r="Z425" s="662"/>
    </row>
    <row r="426" spans="1:26">
      <c r="E426" s="339" t="s">
        <v>945</v>
      </c>
      <c r="G426" s="1317">
        <v>0</v>
      </c>
      <c r="H426" s="1418">
        <v>0</v>
      </c>
      <c r="I426" s="1418">
        <v>1</v>
      </c>
      <c r="K426" s="1390">
        <v>2</v>
      </c>
      <c r="L426" s="662" t="s">
        <v>346</v>
      </c>
      <c r="Z426" s="662"/>
    </row>
    <row r="427" spans="1:26">
      <c r="E427" s="1387" t="s">
        <v>337</v>
      </c>
      <c r="G427" s="1317">
        <v>0</v>
      </c>
      <c r="H427" s="1418"/>
      <c r="I427" s="1418"/>
      <c r="K427" s="1391">
        <v>3</v>
      </c>
      <c r="L427" s="662" t="s">
        <v>347</v>
      </c>
      <c r="Z427" s="662"/>
    </row>
    <row r="428" spans="1:26">
      <c r="E428" s="339" t="s">
        <v>350</v>
      </c>
      <c r="G428" s="1317">
        <v>2</v>
      </c>
      <c r="H428" s="1418">
        <v>0.12</v>
      </c>
      <c r="I428" s="1418">
        <v>1</v>
      </c>
      <c r="K428" s="1392">
        <v>4</v>
      </c>
      <c r="L428" s="662" t="s">
        <v>341</v>
      </c>
      <c r="Z428" s="662"/>
    </row>
    <row r="429" spans="1:26">
      <c r="E429" s="339" t="s">
        <v>351</v>
      </c>
      <c r="G429" s="1317">
        <v>3</v>
      </c>
      <c r="H429" s="1418">
        <v>0.12</v>
      </c>
      <c r="I429" s="1418">
        <v>1</v>
      </c>
      <c r="K429" s="1389">
        <v>5</v>
      </c>
      <c r="L429" s="4" t="s">
        <v>342</v>
      </c>
      <c r="Z429" s="662"/>
    </row>
    <row r="430" spans="1:26">
      <c r="E430" s="339" t="s">
        <v>352</v>
      </c>
      <c r="G430" s="1317">
        <v>4</v>
      </c>
      <c r="H430" s="1418">
        <v>0.8</v>
      </c>
      <c r="I430" s="1418">
        <v>1</v>
      </c>
      <c r="K430" s="2416">
        <v>6</v>
      </c>
      <c r="L430" s="4" t="s">
        <v>1593</v>
      </c>
      <c r="Z430" s="662"/>
    </row>
    <row r="431" spans="1:26">
      <c r="E431" s="339" t="s">
        <v>1430</v>
      </c>
      <c r="G431" s="1317">
        <v>0</v>
      </c>
      <c r="H431" s="1418"/>
      <c r="I431" s="1418"/>
      <c r="K431" s="4" t="s">
        <v>1594</v>
      </c>
      <c r="L431" s="1281" t="s">
        <v>343</v>
      </c>
      <c r="Z431" s="662"/>
    </row>
    <row r="432" spans="1:26">
      <c r="E432" s="1386" t="s">
        <v>338</v>
      </c>
      <c r="G432" s="1317">
        <v>0</v>
      </c>
      <c r="H432" s="1418"/>
      <c r="I432" s="1418"/>
      <c r="K432" s="1393" t="s">
        <v>344</v>
      </c>
      <c r="L432" s="1393" t="s">
        <v>345</v>
      </c>
      <c r="Z432" s="662"/>
    </row>
    <row r="433" spans="5:26">
      <c r="E433" s="339" t="s">
        <v>945</v>
      </c>
      <c r="G433" s="1317">
        <v>0</v>
      </c>
      <c r="H433" s="1418"/>
      <c r="I433" s="1418"/>
      <c r="Z433" s="662"/>
    </row>
    <row r="434" spans="5:26">
      <c r="E434" s="339" t="s">
        <v>715</v>
      </c>
      <c r="G434" s="1317">
        <v>1</v>
      </c>
      <c r="H434" s="1418">
        <v>0.12</v>
      </c>
      <c r="I434" s="1418">
        <v>1</v>
      </c>
      <c r="Z434" s="662"/>
    </row>
    <row r="435" spans="5:26">
      <c r="E435" s="339" t="s">
        <v>181</v>
      </c>
      <c r="G435" s="1317">
        <v>1</v>
      </c>
      <c r="H435" s="1418">
        <v>0.15</v>
      </c>
      <c r="I435" s="1418">
        <v>1</v>
      </c>
      <c r="J435" s="339"/>
      <c r="Z435" s="662"/>
    </row>
    <row r="436" spans="5:26">
      <c r="E436" s="339" t="s">
        <v>716</v>
      </c>
      <c r="G436" s="1317">
        <v>1</v>
      </c>
      <c r="H436" s="1418">
        <v>0.88</v>
      </c>
      <c r="I436" s="1418">
        <v>1</v>
      </c>
      <c r="J436" s="339"/>
      <c r="Z436" s="662"/>
    </row>
    <row r="437" spans="5:26">
      <c r="E437" s="339" t="s">
        <v>363</v>
      </c>
      <c r="G437" s="1317">
        <v>1</v>
      </c>
      <c r="H437" s="1418">
        <v>0.87</v>
      </c>
      <c r="I437" s="1418">
        <v>1</v>
      </c>
      <c r="J437" s="339"/>
      <c r="Z437" s="662"/>
    </row>
    <row r="438" spans="5:26">
      <c r="E438" s="339" t="s">
        <v>1430</v>
      </c>
      <c r="G438" s="1317">
        <v>0</v>
      </c>
      <c r="H438" s="1418"/>
      <c r="I438" s="1418"/>
      <c r="J438" s="339"/>
      <c r="Z438" s="662"/>
    </row>
    <row r="439" spans="5:26">
      <c r="E439" s="339" t="s">
        <v>718</v>
      </c>
      <c r="G439" s="1317">
        <v>5</v>
      </c>
      <c r="H439" s="1418">
        <v>0.01</v>
      </c>
      <c r="I439" s="1418">
        <v>1</v>
      </c>
      <c r="J439" s="339"/>
      <c r="Z439" s="662"/>
    </row>
    <row r="440" spans="5:26">
      <c r="E440" s="339" t="s">
        <v>719</v>
      </c>
      <c r="G440" s="1317">
        <v>5</v>
      </c>
      <c r="H440" s="1418">
        <v>0.01</v>
      </c>
      <c r="I440" s="1418">
        <v>1</v>
      </c>
      <c r="J440" s="339"/>
      <c r="Z440" s="662"/>
    </row>
    <row r="441" spans="5:26">
      <c r="E441" s="339" t="s">
        <v>202</v>
      </c>
      <c r="F441" s="339"/>
      <c r="G441" s="1317">
        <v>5</v>
      </c>
      <c r="H441" s="1418">
        <v>0.01</v>
      </c>
      <c r="I441" s="1418">
        <v>1</v>
      </c>
      <c r="J441" s="339"/>
      <c r="Z441" s="662"/>
    </row>
    <row r="442" spans="5:26">
      <c r="E442" s="339" t="s">
        <v>105</v>
      </c>
      <c r="G442" s="1317">
        <v>5</v>
      </c>
      <c r="H442" s="1418">
        <v>0.01</v>
      </c>
      <c r="I442" s="1418">
        <v>1</v>
      </c>
      <c r="J442" s="339"/>
      <c r="Z442" s="662"/>
    </row>
    <row r="443" spans="5:26">
      <c r="E443" s="339" t="s">
        <v>364</v>
      </c>
      <c r="G443" s="1317">
        <v>5</v>
      </c>
      <c r="H443" s="1418">
        <v>0.01</v>
      </c>
      <c r="I443" s="1418">
        <v>1</v>
      </c>
      <c r="J443" s="339"/>
      <c r="Z443" s="662"/>
    </row>
    <row r="444" spans="5:26">
      <c r="E444" s="339" t="s">
        <v>207</v>
      </c>
      <c r="G444" s="1317">
        <v>5</v>
      </c>
      <c r="H444" s="1418">
        <v>0.01</v>
      </c>
      <c r="I444" s="1418">
        <v>1</v>
      </c>
      <c r="J444" s="339"/>
      <c r="Z444" s="662"/>
    </row>
    <row r="445" spans="5:26">
      <c r="E445" s="339" t="s">
        <v>1845</v>
      </c>
      <c r="G445" s="1317">
        <v>5</v>
      </c>
      <c r="H445" s="1418">
        <v>0.01</v>
      </c>
      <c r="I445" s="1418">
        <v>1</v>
      </c>
      <c r="J445" s="339"/>
      <c r="Z445" s="662"/>
    </row>
    <row r="446" spans="5:26">
      <c r="E446" s="339"/>
      <c r="G446" s="1317">
        <v>0</v>
      </c>
      <c r="H446" s="1418"/>
      <c r="I446" s="1418"/>
      <c r="J446" s="339"/>
      <c r="Z446" s="662"/>
    </row>
    <row r="447" spans="5:26">
      <c r="E447" s="339" t="s">
        <v>205</v>
      </c>
      <c r="G447" s="1317">
        <v>5</v>
      </c>
      <c r="H447" s="1418">
        <v>0.1</v>
      </c>
      <c r="I447" s="1418">
        <v>1</v>
      </c>
      <c r="J447" s="339"/>
      <c r="Z447" s="662"/>
    </row>
    <row r="448" spans="5:26">
      <c r="E448" s="339" t="s">
        <v>206</v>
      </c>
      <c r="G448" s="1317">
        <v>5</v>
      </c>
      <c r="H448" s="1418">
        <v>0.23</v>
      </c>
      <c r="I448" s="1418">
        <v>1</v>
      </c>
      <c r="J448" s="339"/>
      <c r="Z448" s="662"/>
    </row>
    <row r="449" spans="5:26">
      <c r="E449" s="339" t="s">
        <v>111</v>
      </c>
      <c r="G449" s="1317">
        <v>5</v>
      </c>
      <c r="H449" s="1418">
        <v>0.28000000000000003</v>
      </c>
      <c r="I449" s="1418">
        <v>1</v>
      </c>
      <c r="J449" s="339"/>
      <c r="Z449" s="662"/>
    </row>
    <row r="450" spans="5:26">
      <c r="E450" s="339" t="s">
        <v>361</v>
      </c>
      <c r="G450" s="1317">
        <v>5</v>
      </c>
      <c r="H450" s="1418">
        <v>0.28000000000000003</v>
      </c>
      <c r="I450" s="1418">
        <v>1</v>
      </c>
      <c r="J450" s="339"/>
      <c r="Z450" s="662"/>
    </row>
    <row r="451" spans="5:26">
      <c r="E451" s="339" t="s">
        <v>362</v>
      </c>
      <c r="G451" s="2417">
        <v>6</v>
      </c>
      <c r="H451" s="1418">
        <v>0.85</v>
      </c>
      <c r="I451" s="1418">
        <v>1</v>
      </c>
      <c r="J451" s="339"/>
      <c r="Z451" s="662"/>
    </row>
    <row r="452" spans="5:26">
      <c r="E452" s="339" t="s">
        <v>720</v>
      </c>
      <c r="G452" s="1317">
        <v>5</v>
      </c>
      <c r="H452" s="1418">
        <v>0.1</v>
      </c>
      <c r="I452" s="1418">
        <v>0.2</v>
      </c>
      <c r="J452" s="339"/>
      <c r="Z452" s="662"/>
    </row>
    <row r="453" spans="5:26">
      <c r="E453" s="339" t="s">
        <v>204</v>
      </c>
      <c r="G453" s="1317">
        <v>5</v>
      </c>
      <c r="H453" s="1418">
        <v>0.22</v>
      </c>
      <c r="I453" s="1418">
        <v>1</v>
      </c>
      <c r="J453" s="339"/>
      <c r="Z453" s="662"/>
    </row>
    <row r="454" spans="5:26">
      <c r="E454" s="339" t="s">
        <v>1430</v>
      </c>
      <c r="G454" s="1317">
        <v>0</v>
      </c>
      <c r="H454" s="1418"/>
      <c r="I454" s="1418"/>
      <c r="J454" s="339"/>
      <c r="Z454" s="662"/>
    </row>
    <row r="455" spans="5:26">
      <c r="E455" s="339" t="s">
        <v>717</v>
      </c>
      <c r="G455" s="1317">
        <v>5</v>
      </c>
      <c r="H455" s="1418">
        <v>0.01</v>
      </c>
      <c r="I455" s="1418">
        <v>1</v>
      </c>
      <c r="J455" s="339"/>
      <c r="Z455" s="662"/>
    </row>
    <row r="456" spans="5:26">
      <c r="E456" s="339" t="s">
        <v>721</v>
      </c>
      <c r="G456" s="1317">
        <v>5</v>
      </c>
      <c r="H456" s="1418">
        <v>0.01</v>
      </c>
      <c r="I456" s="1418">
        <v>1</v>
      </c>
      <c r="J456" s="339"/>
      <c r="Z456" s="662"/>
    </row>
    <row r="457" spans="5:26">
      <c r="E457" s="339" t="s">
        <v>103</v>
      </c>
      <c r="G457" s="1317">
        <v>5</v>
      </c>
      <c r="H457" s="1418">
        <v>0.01</v>
      </c>
      <c r="I457" s="1418">
        <v>1</v>
      </c>
      <c r="J457" s="339"/>
      <c r="Z457" s="662"/>
    </row>
    <row r="458" spans="5:26">
      <c r="E458" s="339" t="s">
        <v>104</v>
      </c>
      <c r="G458" s="1317">
        <v>5</v>
      </c>
      <c r="H458" s="1418">
        <v>0.01</v>
      </c>
      <c r="I458" s="1418">
        <v>1</v>
      </c>
      <c r="J458" s="339"/>
      <c r="Z458" s="662"/>
    </row>
    <row r="459" spans="5:26">
      <c r="E459" s="339" t="s">
        <v>101</v>
      </c>
      <c r="G459" s="1317">
        <v>5</v>
      </c>
      <c r="H459" s="1418">
        <v>0.2</v>
      </c>
      <c r="I459" s="1418">
        <v>1</v>
      </c>
      <c r="J459" s="339"/>
      <c r="Z459" s="662"/>
    </row>
    <row r="460" spans="5:26">
      <c r="E460" s="339" t="s">
        <v>102</v>
      </c>
      <c r="G460" s="1317">
        <v>5</v>
      </c>
      <c r="H460" s="1418">
        <v>0.2</v>
      </c>
      <c r="I460" s="1418">
        <v>1</v>
      </c>
      <c r="J460" s="339"/>
      <c r="Z460" s="662"/>
    </row>
    <row r="461" spans="5:26">
      <c r="E461" s="339" t="s">
        <v>112</v>
      </c>
      <c r="G461" s="2417">
        <v>6</v>
      </c>
      <c r="H461" s="1418">
        <v>0.85</v>
      </c>
      <c r="I461" s="1418">
        <v>1</v>
      </c>
      <c r="J461" s="339"/>
      <c r="Z461" s="662"/>
    </row>
    <row r="462" spans="5:26">
      <c r="E462" s="339" t="s">
        <v>1430</v>
      </c>
      <c r="G462" s="1317">
        <v>0</v>
      </c>
      <c r="H462" s="1418"/>
      <c r="I462" s="1418"/>
      <c r="J462" s="339"/>
      <c r="Z462" s="662"/>
    </row>
    <row r="463" spans="5:26">
      <c r="E463" s="339" t="s">
        <v>1715</v>
      </c>
      <c r="G463" s="2417">
        <v>6</v>
      </c>
      <c r="H463" s="1418">
        <v>0.75</v>
      </c>
      <c r="I463" s="1418">
        <v>1</v>
      </c>
      <c r="J463" s="339"/>
      <c r="Z463" s="662"/>
    </row>
    <row r="464" spans="5:26">
      <c r="E464" s="339" t="s">
        <v>1716</v>
      </c>
      <c r="G464" s="2417">
        <v>6</v>
      </c>
      <c r="H464" s="1418">
        <v>0.75</v>
      </c>
      <c r="I464" s="1418">
        <v>1</v>
      </c>
      <c r="J464" s="339"/>
      <c r="Z464" s="662"/>
    </row>
    <row r="465" spans="1:26">
      <c r="E465" s="339" t="s">
        <v>1717</v>
      </c>
      <c r="G465" s="2417">
        <v>6</v>
      </c>
      <c r="H465" s="1418">
        <v>0.75</v>
      </c>
      <c r="I465" s="1418">
        <v>1</v>
      </c>
      <c r="J465" s="339"/>
      <c r="Z465" s="662"/>
    </row>
    <row r="466" spans="1:26">
      <c r="E466" s="339" t="s">
        <v>1718</v>
      </c>
      <c r="G466" s="2417">
        <v>6</v>
      </c>
      <c r="H466" s="1418">
        <v>0.75</v>
      </c>
      <c r="I466" s="1418">
        <v>1</v>
      </c>
      <c r="J466" s="339"/>
      <c r="Z466" s="662"/>
    </row>
    <row r="467" spans="1:26">
      <c r="E467" s="339" t="s">
        <v>1719</v>
      </c>
      <c r="G467" s="2417">
        <v>6</v>
      </c>
      <c r="H467" s="1418">
        <v>0.75</v>
      </c>
      <c r="I467" s="1418">
        <v>1</v>
      </c>
      <c r="J467" s="339"/>
      <c r="Z467" s="662"/>
    </row>
    <row r="468" spans="1:26">
      <c r="E468" s="339" t="s">
        <v>1720</v>
      </c>
      <c r="G468" s="2417">
        <v>6</v>
      </c>
      <c r="H468" s="1418">
        <v>0.75</v>
      </c>
      <c r="I468" s="1418">
        <v>1</v>
      </c>
      <c r="J468" s="339"/>
      <c r="Z468" s="662"/>
    </row>
    <row r="469" spans="1:26">
      <c r="E469" s="339" t="s">
        <v>1721</v>
      </c>
      <c r="G469" s="2417">
        <v>6</v>
      </c>
      <c r="H469" s="1418">
        <v>0.75</v>
      </c>
      <c r="I469" s="1418">
        <v>1</v>
      </c>
      <c r="J469" s="339"/>
      <c r="Z469" s="662"/>
    </row>
    <row r="470" spans="1:26">
      <c r="A470" s="662" t="s">
        <v>1430</v>
      </c>
      <c r="B470" s="662" t="s">
        <v>1430</v>
      </c>
      <c r="C470" s="662" t="s">
        <v>1430</v>
      </c>
      <c r="D470" s="662" t="s">
        <v>1430</v>
      </c>
      <c r="E470" s="1680" t="s">
        <v>1430</v>
      </c>
      <c r="F470" s="1680" t="s">
        <v>1430</v>
      </c>
      <c r="G470" s="1680" t="s">
        <v>1430</v>
      </c>
      <c r="H470" s="1680" t="s">
        <v>1430</v>
      </c>
      <c r="I470" s="1680" t="s">
        <v>1430</v>
      </c>
      <c r="J470" s="1680" t="s">
        <v>1430</v>
      </c>
      <c r="K470" s="1680" t="s">
        <v>1430</v>
      </c>
      <c r="L470" s="1680" t="s">
        <v>1430</v>
      </c>
      <c r="M470" s="1680" t="s">
        <v>1430</v>
      </c>
      <c r="N470" s="1680" t="s">
        <v>1430</v>
      </c>
      <c r="O470" s="1680" t="s">
        <v>1430</v>
      </c>
      <c r="P470" s="1680" t="s">
        <v>1430</v>
      </c>
      <c r="Q470" s="1680" t="s">
        <v>1430</v>
      </c>
      <c r="R470" s="1681" t="s">
        <v>1424</v>
      </c>
      <c r="Z470" s="1681" t="s">
        <v>1424</v>
      </c>
    </row>
    <row r="471" spans="1:26">
      <c r="E471" s="339" t="s">
        <v>1155</v>
      </c>
      <c r="Z471" s="662"/>
    </row>
    <row r="472" spans="1:26" ht="15.75" customHeight="1">
      <c r="E472" s="1327" t="s">
        <v>329</v>
      </c>
      <c r="F472" s="1328"/>
      <c r="Z472" s="662"/>
    </row>
    <row r="473" spans="1:26" ht="15.75" customHeight="1">
      <c r="C473" s="2851" t="s">
        <v>1578</v>
      </c>
      <c r="E473" s="339" t="s">
        <v>945</v>
      </c>
      <c r="Z473" s="662"/>
    </row>
    <row r="474" spans="1:26">
      <c r="C474" s="2393" t="s">
        <v>1571</v>
      </c>
      <c r="E474" s="339" t="s">
        <v>945</v>
      </c>
      <c r="Z474" s="662"/>
    </row>
    <row r="475" spans="1:26">
      <c r="E475" s="339" t="s">
        <v>207</v>
      </c>
      <c r="Z475" s="662"/>
    </row>
    <row r="476" spans="1:26">
      <c r="E476" s="339" t="s">
        <v>206</v>
      </c>
      <c r="Z476" s="662"/>
    </row>
    <row r="477" spans="1:26">
      <c r="E477" s="339" t="s">
        <v>204</v>
      </c>
      <c r="Z477" s="662"/>
    </row>
    <row r="478" spans="1:26">
      <c r="A478" s="662" t="s">
        <v>1430</v>
      </c>
      <c r="B478" s="662" t="s">
        <v>1430</v>
      </c>
      <c r="C478" s="662" t="s">
        <v>1430</v>
      </c>
      <c r="D478" s="662" t="s">
        <v>1430</v>
      </c>
      <c r="E478" s="1680" t="s">
        <v>1430</v>
      </c>
      <c r="F478" s="1680" t="s">
        <v>1430</v>
      </c>
      <c r="G478" s="1680" t="s">
        <v>1430</v>
      </c>
      <c r="H478" s="1680" t="s">
        <v>1430</v>
      </c>
      <c r="I478" s="1680" t="s">
        <v>1430</v>
      </c>
      <c r="J478" s="1680" t="s">
        <v>1430</v>
      </c>
      <c r="K478" s="1680" t="s">
        <v>1430</v>
      </c>
      <c r="L478" s="1680" t="s">
        <v>1430</v>
      </c>
      <c r="M478" s="1680" t="s">
        <v>1430</v>
      </c>
      <c r="N478" s="1680" t="s">
        <v>1430</v>
      </c>
      <c r="O478" s="1680" t="s">
        <v>1430</v>
      </c>
      <c r="P478" s="1680" t="s">
        <v>1430</v>
      </c>
      <c r="Q478" s="1680" t="s">
        <v>1430</v>
      </c>
      <c r="R478" s="1681" t="s">
        <v>1424</v>
      </c>
      <c r="Z478" s="662"/>
    </row>
    <row r="479" spans="1:26">
      <c r="E479" s="1595" t="s">
        <v>447</v>
      </c>
      <c r="G479" s="158" t="s">
        <v>451</v>
      </c>
      <c r="H479" s="158"/>
      <c r="I479" s="158"/>
      <c r="J479" s="1687"/>
      <c r="K479" s="665" t="s">
        <v>452</v>
      </c>
      <c r="L479" s="1729" t="s">
        <v>497</v>
      </c>
      <c r="M479" s="1595" t="s">
        <v>463</v>
      </c>
      <c r="O479" s="104" t="s">
        <v>1246</v>
      </c>
      <c r="P479" s="1688">
        <f>Suisse_Bilanz_1.20!Q57</f>
        <v>0</v>
      </c>
      <c r="Q479" s="4" t="s">
        <v>456</v>
      </c>
      <c r="Z479" s="662"/>
    </row>
    <row r="480" spans="1:26">
      <c r="E480" s="663" t="s">
        <v>454</v>
      </c>
      <c r="F480" s="1596" t="s">
        <v>443</v>
      </c>
      <c r="G480" s="663" t="s">
        <v>444</v>
      </c>
      <c r="H480" s="663" t="s">
        <v>445</v>
      </c>
      <c r="I480" s="663" t="s">
        <v>446</v>
      </c>
      <c r="J480" s="663" t="s">
        <v>448</v>
      </c>
      <c r="K480" s="1602" t="s">
        <v>453</v>
      </c>
      <c r="L480" s="1730" t="s">
        <v>496</v>
      </c>
      <c r="M480" s="1595" t="s">
        <v>444</v>
      </c>
      <c r="P480" s="4" t="s">
        <v>468</v>
      </c>
      <c r="Q480" s="1595" t="s">
        <v>469</v>
      </c>
      <c r="Z480" s="662"/>
    </row>
    <row r="481" spans="1:26">
      <c r="E481" s="1317">
        <v>0</v>
      </c>
      <c r="F481" s="1597" t="s">
        <v>449</v>
      </c>
      <c r="G481" s="1317">
        <v>135</v>
      </c>
      <c r="H481" s="1598">
        <f>G481</f>
        <v>135</v>
      </c>
      <c r="I481" s="1598">
        <f t="shared" ref="I481:I487" si="28">ROUND(0.75*G481,0)</f>
        <v>101</v>
      </c>
      <c r="J481" s="1598">
        <v>60</v>
      </c>
      <c r="K481" s="1599">
        <v>60</v>
      </c>
      <c r="L481" s="1731">
        <f>5*10</f>
        <v>50</v>
      </c>
      <c r="M481" s="4" t="s">
        <v>464</v>
      </c>
      <c r="Q481" s="1595">
        <v>0</v>
      </c>
      <c r="Z481" s="662"/>
    </row>
    <row r="482" spans="1:26">
      <c r="E482" s="1317">
        <v>601</v>
      </c>
      <c r="F482" s="1597" t="s">
        <v>1656</v>
      </c>
      <c r="G482" s="1317">
        <v>125</v>
      </c>
      <c r="H482" s="1317">
        <f>G482+Q482</f>
        <v>125</v>
      </c>
      <c r="I482" s="1598">
        <f t="shared" si="28"/>
        <v>94</v>
      </c>
      <c r="J482" s="1598">
        <v>50</v>
      </c>
      <c r="K482" s="1600">
        <v>50</v>
      </c>
      <c r="L482" s="1731">
        <f>5*10</f>
        <v>50</v>
      </c>
      <c r="M482" s="4">
        <f>(G481-G482)/(E483-E482)*0</f>
        <v>0</v>
      </c>
      <c r="N482" s="4" t="s">
        <v>465</v>
      </c>
      <c r="P482" s="4">
        <f>IF(AND(P479&lt;E483,P479&gt;=E482),699-P479,0)</f>
        <v>0</v>
      </c>
      <c r="Q482" s="1595">
        <f>ROUND(P482*M482,0)</f>
        <v>0</v>
      </c>
      <c r="Z482" s="662"/>
    </row>
    <row r="483" spans="1:26">
      <c r="E483" s="1317">
        <v>701</v>
      </c>
      <c r="F483" s="1597" t="s">
        <v>1657</v>
      </c>
      <c r="G483" s="1317">
        <v>115</v>
      </c>
      <c r="H483" s="1317">
        <f>G483+Q483</f>
        <v>115</v>
      </c>
      <c r="I483" s="1598">
        <f t="shared" si="28"/>
        <v>86</v>
      </c>
      <c r="J483" s="1598">
        <v>40</v>
      </c>
      <c r="K483" s="1600">
        <v>40</v>
      </c>
      <c r="L483" s="1731">
        <f>4*10</f>
        <v>40</v>
      </c>
      <c r="M483" s="4">
        <f>(G482-G483)/(E486-E483)*0</f>
        <v>0</v>
      </c>
      <c r="N483" s="4" t="s">
        <v>466</v>
      </c>
      <c r="P483" s="4">
        <f>IF(AND(P479&lt;E486,P479&gt;=E483),1099-P479,0)</f>
        <v>0</v>
      </c>
      <c r="Q483" s="1595">
        <f>ROUND(P483*M483,0)</f>
        <v>0</v>
      </c>
      <c r="Z483" s="662"/>
    </row>
    <row r="484" spans="1:26">
      <c r="E484" s="1317">
        <v>801</v>
      </c>
      <c r="F484" s="1597" t="s">
        <v>1658</v>
      </c>
      <c r="G484" s="1317">
        <v>110</v>
      </c>
      <c r="H484" s="1317">
        <f>G484+Q484</f>
        <v>110</v>
      </c>
      <c r="I484" s="1598">
        <f t="shared" si="28"/>
        <v>83</v>
      </c>
      <c r="J484" s="1598">
        <v>40</v>
      </c>
      <c r="K484" s="1600">
        <v>40</v>
      </c>
      <c r="L484" s="1731">
        <v>35</v>
      </c>
      <c r="M484" s="4">
        <v>0</v>
      </c>
      <c r="Q484" s="1595">
        <f>ROUND(P484*M484,0)</f>
        <v>0</v>
      </c>
      <c r="Z484" s="662"/>
    </row>
    <row r="485" spans="1:26">
      <c r="E485" s="1317">
        <v>901</v>
      </c>
      <c r="F485" s="1597" t="s">
        <v>1659</v>
      </c>
      <c r="G485" s="1317">
        <v>100</v>
      </c>
      <c r="H485" s="1317">
        <f>G485+Q485</f>
        <v>100</v>
      </c>
      <c r="I485" s="1598">
        <f t="shared" si="28"/>
        <v>75</v>
      </c>
      <c r="J485" s="1598">
        <v>40</v>
      </c>
      <c r="K485" s="1600">
        <v>40</v>
      </c>
      <c r="L485" s="1731">
        <v>30</v>
      </c>
      <c r="M485" s="4">
        <v>0</v>
      </c>
      <c r="Q485" s="1595">
        <f>ROUND(P485*M485,0)</f>
        <v>0</v>
      </c>
      <c r="Z485" s="662"/>
    </row>
    <row r="486" spans="1:26">
      <c r="E486" s="1317">
        <v>1101</v>
      </c>
      <c r="F486" s="1597" t="s">
        <v>485</v>
      </c>
      <c r="G486" s="1317">
        <v>85</v>
      </c>
      <c r="H486" s="1317">
        <f>G486+Q486</f>
        <v>85</v>
      </c>
      <c r="I486" s="1598">
        <f t="shared" si="28"/>
        <v>64</v>
      </c>
      <c r="J486" s="1598">
        <v>30</v>
      </c>
      <c r="K486" s="1600">
        <v>30</v>
      </c>
      <c r="L486" s="1731">
        <f>3*10</f>
        <v>30</v>
      </c>
      <c r="M486" s="4">
        <f>(G483-G486)/(E487-E486)*0</f>
        <v>0</v>
      </c>
      <c r="N486" s="4" t="s">
        <v>467</v>
      </c>
      <c r="P486" s="4">
        <f>IF(AND(P479&lt;E487,P479&gt;=E486),1499-P479,0)</f>
        <v>0</v>
      </c>
      <c r="Q486" s="1595">
        <f>ROUND(P486*M486,0)</f>
        <v>0</v>
      </c>
      <c r="Z486" s="662"/>
    </row>
    <row r="487" spans="1:26">
      <c r="E487" s="1317">
        <v>1500.5</v>
      </c>
      <c r="F487" s="1597" t="s">
        <v>450</v>
      </c>
      <c r="G487" s="1317">
        <v>65</v>
      </c>
      <c r="H487" s="1317">
        <f>G487</f>
        <v>65</v>
      </c>
      <c r="I487" s="1598">
        <f t="shared" si="28"/>
        <v>49</v>
      </c>
      <c r="J487" s="1317">
        <v>30</v>
      </c>
      <c r="K487" s="1601">
        <v>30</v>
      </c>
      <c r="L487" s="1731">
        <f>2*10</f>
        <v>20</v>
      </c>
      <c r="M487" s="4">
        <v>0</v>
      </c>
      <c r="Q487" s="1595">
        <v>0</v>
      </c>
      <c r="Z487" s="662"/>
    </row>
    <row r="488" spans="1:26">
      <c r="A488" s="662" t="s">
        <v>1430</v>
      </c>
      <c r="B488" s="662" t="s">
        <v>1430</v>
      </c>
      <c r="C488" s="662" t="s">
        <v>1430</v>
      </c>
      <c r="D488" s="662" t="s">
        <v>1430</v>
      </c>
      <c r="E488" s="662" t="s">
        <v>1430</v>
      </c>
      <c r="F488" s="1682" t="s">
        <v>1430</v>
      </c>
      <c r="G488" s="1682" t="s">
        <v>1430</v>
      </c>
      <c r="H488" s="1682" t="s">
        <v>1430</v>
      </c>
      <c r="I488" s="1682" t="s">
        <v>1430</v>
      </c>
      <c r="J488" s="1682" t="s">
        <v>1430</v>
      </c>
      <c r="K488" s="1683" t="s">
        <v>1430</v>
      </c>
      <c r="L488" s="1732" t="s">
        <v>1430</v>
      </c>
      <c r="M488" s="662" t="s">
        <v>1430</v>
      </c>
      <c r="N488" s="662" t="s">
        <v>1430</v>
      </c>
      <c r="O488" s="662" t="s">
        <v>1430</v>
      </c>
      <c r="P488" s="662" t="s">
        <v>1430</v>
      </c>
      <c r="Q488" s="662" t="s">
        <v>1430</v>
      </c>
      <c r="R488" s="1681" t="s">
        <v>1424</v>
      </c>
      <c r="Z488" s="1681" t="s">
        <v>1424</v>
      </c>
    </row>
    <row r="489" spans="1:26">
      <c r="E489" s="4" t="s">
        <v>1155</v>
      </c>
      <c r="G489" s="1317"/>
      <c r="H489" s="1317"/>
      <c r="Z489" s="662"/>
    </row>
    <row r="490" spans="1:26">
      <c r="E490" s="661" t="s">
        <v>1317</v>
      </c>
      <c r="F490" s="661"/>
      <c r="G490" s="1317"/>
      <c r="H490" s="1317"/>
      <c r="Z490" s="662"/>
    </row>
    <row r="491" spans="1:26">
      <c r="E491" s="4" t="s">
        <v>579</v>
      </c>
      <c r="F491" s="1317"/>
      <c r="Z491" s="662"/>
    </row>
    <row r="492" spans="1:26">
      <c r="E492" s="4" t="s">
        <v>1312</v>
      </c>
      <c r="F492" s="1317"/>
      <c r="Z492" s="662"/>
    </row>
    <row r="493" spans="1:26">
      <c r="E493" s="4" t="s">
        <v>1315</v>
      </c>
      <c r="G493" s="1317"/>
      <c r="H493" s="1317"/>
      <c r="I493" s="1317"/>
      <c r="Z493" s="662"/>
    </row>
    <row r="494" spans="1:26">
      <c r="Z494" s="662"/>
    </row>
    <row r="495" spans="1:26">
      <c r="E495" s="4" t="s">
        <v>1311</v>
      </c>
      <c r="F495" s="1317"/>
      <c r="G495" s="2013" t="s">
        <v>579</v>
      </c>
      <c r="H495" s="4" t="s">
        <v>1312</v>
      </c>
      <c r="I495" s="1281" t="s">
        <v>1315</v>
      </c>
      <c r="J495" s="1281">
        <v>0</v>
      </c>
      <c r="Z495" s="662"/>
    </row>
    <row r="496" spans="1:26">
      <c r="E496" s="1995">
        <f>HLOOKUP(Y1,G495:J496,2,FALSE)</f>
        <v>8</v>
      </c>
      <c r="F496" s="4" t="s">
        <v>1313</v>
      </c>
      <c r="G496" s="1996">
        <f>COLUMN()</f>
        <v>7</v>
      </c>
      <c r="H496" s="1996">
        <f>COLUMN()</f>
        <v>8</v>
      </c>
      <c r="I496" s="1996">
        <f>H496</f>
        <v>8</v>
      </c>
      <c r="J496" s="1996">
        <f>H496</f>
        <v>8</v>
      </c>
      <c r="Z496" s="662"/>
    </row>
    <row r="497" spans="5:26">
      <c r="E497" s="4" t="str">
        <f t="shared" ref="E497:E507" si="29">HLOOKUP($E$496,Texte,ROW(E497)-ROW(E$496)+1,FALSE)</f>
        <v>Auskunft: Fabian Furrer 041 666 64 53</v>
      </c>
      <c r="F497" s="4" t="s">
        <v>1316</v>
      </c>
      <c r="G497" s="2013" t="s">
        <v>1922</v>
      </c>
      <c r="H497" s="4" t="s">
        <v>2133</v>
      </c>
      <c r="Z497" s="662"/>
    </row>
    <row r="498" spans="5:26">
      <c r="E498" s="4" t="str">
        <f t="shared" si="29"/>
        <v>Unterschrift ÖLN-Kontrolleur:</v>
      </c>
      <c r="F498" s="4" t="s">
        <v>1314</v>
      </c>
      <c r="G498" s="2013" t="s">
        <v>1318</v>
      </c>
      <c r="H498" s="4" t="s">
        <v>1319</v>
      </c>
      <c r="Z498" s="662"/>
    </row>
    <row r="499" spans="5:26" ht="22.5" customHeight="1">
      <c r="E499" s="4" t="str">
        <f t="shared" si="29"/>
        <v>- Beim ÖLN darf die Gesamtbilanz den Fehlerbereich bei N und P nicht überschreiten.</v>
      </c>
      <c r="F499" s="4" t="s">
        <v>558</v>
      </c>
      <c r="G499" s="2014" t="s">
        <v>550</v>
      </c>
      <c r="H499" s="4" t="s">
        <v>557</v>
      </c>
      <c r="Z499" s="662"/>
    </row>
    <row r="500" spans="5:26">
      <c r="E500" s="4" t="str">
        <f t="shared" si="29"/>
        <v xml:space="preserve">   Der Fehlerbereich beträgt in der Regel bei N und P 10% des Bedarfs (C), bei</v>
      </c>
      <c r="F500" s="4" t="s">
        <v>79</v>
      </c>
      <c r="G500" s="2013" t="s">
        <v>1476</v>
      </c>
      <c r="H500" s="4" t="s">
        <v>559</v>
      </c>
      <c r="Z500" s="662"/>
    </row>
    <row r="501" spans="5:26">
      <c r="E501" s="4" t="str">
        <f t="shared" si="29"/>
        <v xml:space="preserve">    bestimmten Betrieben beträgt der P-Fehlerbereich aber  0 %:  </v>
      </c>
      <c r="F501" s="4" t="s">
        <v>54</v>
      </c>
      <c r="G501" s="2013" t="s">
        <v>1478</v>
      </c>
      <c r="H501" s="4" t="s">
        <v>1477</v>
      </c>
      <c r="Z501" s="662"/>
    </row>
    <row r="502" spans="5:26">
      <c r="E502" s="4" t="str">
        <f t="shared" si="29"/>
        <v xml:space="preserve">    Einzelbetriebliche Verfügung nach Direktzahlungsverordnung (Änderung 1.1.2002) bei Bauten mit Ausdehnung des Tierbestandes, DZV Art. 13 und Anhang 1.</v>
      </c>
      <c r="F502" s="4" t="s">
        <v>54</v>
      </c>
      <c r="G502" s="2013" t="s">
        <v>560</v>
      </c>
      <c r="H502" s="2016" t="s">
        <v>561</v>
      </c>
      <c r="Z502" s="662"/>
    </row>
    <row r="503" spans="5:26">
      <c r="E503" s="4" t="str">
        <f t="shared" si="29"/>
        <v xml:space="preserve">  </v>
      </c>
      <c r="F503" s="4" t="s">
        <v>54</v>
      </c>
      <c r="G503" s="2013" t="s">
        <v>1475</v>
      </c>
      <c r="H503" s="4" t="s">
        <v>54</v>
      </c>
      <c r="Z503" s="662"/>
    </row>
    <row r="504" spans="5:26">
      <c r="E504" s="4" t="str">
        <f t="shared" si="29"/>
        <v xml:space="preserve">  </v>
      </c>
      <c r="F504" s="4" t="s">
        <v>54</v>
      </c>
      <c r="G504" s="2013" t="s">
        <v>1479</v>
      </c>
      <c r="H504" s="4" t="s">
        <v>54</v>
      </c>
      <c r="Z504" s="662"/>
    </row>
    <row r="505" spans="5:26">
      <c r="E505" s="4" t="str">
        <f t="shared" si="29"/>
        <v xml:space="preserve">  </v>
      </c>
      <c r="G505" s="2013" t="s">
        <v>1485</v>
      </c>
      <c r="H505" s="4" t="s">
        <v>54</v>
      </c>
      <c r="Z505" s="662"/>
    </row>
    <row r="506" spans="5:26">
      <c r="E506" s="4" t="str">
        <f t="shared" si="29"/>
        <v xml:space="preserve">  </v>
      </c>
      <c r="G506" s="2013" t="s">
        <v>1484</v>
      </c>
      <c r="H506" s="4" t="s">
        <v>54</v>
      </c>
      <c r="Z506" s="662"/>
    </row>
    <row r="507" spans="5:26">
      <c r="E507" s="4" t="str">
        <f t="shared" si="29"/>
        <v>ÖLN:</v>
      </c>
      <c r="F507" s="4" t="s">
        <v>547</v>
      </c>
      <c r="G507" s="2013" t="s">
        <v>548</v>
      </c>
      <c r="H507" s="4" t="s">
        <v>549</v>
      </c>
      <c r="Z507" s="662"/>
    </row>
    <row r="508" spans="5:26">
      <c r="E508" s="662" t="s">
        <v>1430</v>
      </c>
      <c r="F508" s="1682" t="s">
        <v>1430</v>
      </c>
      <c r="G508" s="2015" t="s">
        <v>1430</v>
      </c>
      <c r="H508" s="1682" t="s">
        <v>1430</v>
      </c>
      <c r="I508" s="1682" t="s">
        <v>1430</v>
      </c>
      <c r="J508" s="1682" t="s">
        <v>1430</v>
      </c>
      <c r="K508" s="1683" t="s">
        <v>1430</v>
      </c>
      <c r="L508" s="1732" t="s">
        <v>1430</v>
      </c>
      <c r="M508" s="662" t="s">
        <v>1430</v>
      </c>
      <c r="N508" s="662" t="s">
        <v>1430</v>
      </c>
      <c r="O508" s="662" t="s">
        <v>1430</v>
      </c>
      <c r="P508" s="662" t="s">
        <v>1430</v>
      </c>
      <c r="Q508" s="662" t="s">
        <v>1430</v>
      </c>
      <c r="R508" s="1681" t="s">
        <v>1424</v>
      </c>
      <c r="S508" s="662" t="s">
        <v>1430</v>
      </c>
      <c r="T508" s="662" t="s">
        <v>1430</v>
      </c>
      <c r="U508" s="662" t="s">
        <v>1430</v>
      </c>
      <c r="V508" s="662" t="s">
        <v>1430</v>
      </c>
      <c r="W508" s="662" t="s">
        <v>1430</v>
      </c>
      <c r="X508" s="662" t="s">
        <v>1430</v>
      </c>
      <c r="Y508" s="662" t="s">
        <v>1430</v>
      </c>
      <c r="Z508" s="1681" t="s">
        <v>1424</v>
      </c>
    </row>
    <row r="509" spans="5:26">
      <c r="E509" s="4" t="s">
        <v>1155</v>
      </c>
      <c r="Z509" s="662"/>
    </row>
    <row r="510" spans="5:26">
      <c r="E510" s="2009" t="s">
        <v>556</v>
      </c>
      <c r="Z510" s="662"/>
    </row>
    <row r="511" spans="5:26">
      <c r="E511" s="2010" t="s">
        <v>945</v>
      </c>
      <c r="F511" s="2004"/>
      <c r="Z511" s="662"/>
    </row>
    <row r="512" spans="5:26">
      <c r="E512" s="2005" t="s">
        <v>551</v>
      </c>
      <c r="F512" s="2006">
        <v>2.5</v>
      </c>
      <c r="Z512" s="662"/>
    </row>
    <row r="513" spans="1:26">
      <c r="E513" s="2005" t="s">
        <v>552</v>
      </c>
      <c r="F513" s="2006">
        <v>2.1</v>
      </c>
      <c r="Z513" s="662"/>
    </row>
    <row r="514" spans="1:26">
      <c r="E514" s="2005" t="s">
        <v>546</v>
      </c>
      <c r="F514" s="2006">
        <v>1.8</v>
      </c>
      <c r="Z514" s="662"/>
    </row>
    <row r="515" spans="1:26">
      <c r="E515" s="2005" t="s">
        <v>553</v>
      </c>
      <c r="F515" s="2006">
        <v>1.4</v>
      </c>
      <c r="Z515" s="662"/>
    </row>
    <row r="516" spans="1:26">
      <c r="E516" s="2005" t="s">
        <v>554</v>
      </c>
      <c r="F516" s="2006">
        <v>1.2</v>
      </c>
      <c r="Z516" s="662"/>
    </row>
    <row r="517" spans="1:26">
      <c r="E517" s="2007" t="s">
        <v>555</v>
      </c>
      <c r="F517" s="2008">
        <v>1.1000000000000001</v>
      </c>
      <c r="Z517" s="662"/>
    </row>
    <row r="518" spans="1:26">
      <c r="A518" s="662" t="s">
        <v>1430</v>
      </c>
      <c r="B518" s="662" t="s">
        <v>1430</v>
      </c>
      <c r="C518" s="662" t="s">
        <v>1430</v>
      </c>
      <c r="D518" s="662" t="s">
        <v>1430</v>
      </c>
      <c r="E518" s="1680" t="s">
        <v>1430</v>
      </c>
      <c r="F518" s="1680" t="s">
        <v>1430</v>
      </c>
      <c r="G518" s="1680" t="s">
        <v>1430</v>
      </c>
      <c r="H518" s="1680" t="s">
        <v>1430</v>
      </c>
      <c r="I518" s="1680" t="s">
        <v>1430</v>
      </c>
      <c r="J518" s="1680" t="s">
        <v>1430</v>
      </c>
      <c r="K518" s="662" t="s">
        <v>1430</v>
      </c>
      <c r="L518" s="1680" t="s">
        <v>1430</v>
      </c>
      <c r="M518" s="1680" t="s">
        <v>1430</v>
      </c>
      <c r="N518" s="1680" t="s">
        <v>1430</v>
      </c>
      <c r="O518" s="1680" t="s">
        <v>1430</v>
      </c>
      <c r="P518" s="1680" t="s">
        <v>1430</v>
      </c>
      <c r="Q518" s="1680" t="s">
        <v>1430</v>
      </c>
      <c r="R518" s="1681" t="s">
        <v>1424</v>
      </c>
      <c r="S518" s="662" t="s">
        <v>1430</v>
      </c>
      <c r="T518" s="662" t="s">
        <v>1430</v>
      </c>
      <c r="U518" s="662" t="s">
        <v>1430</v>
      </c>
      <c r="V518" s="662" t="s">
        <v>1430</v>
      </c>
      <c r="W518" s="662" t="s">
        <v>1430</v>
      </c>
      <c r="X518" s="662" t="s">
        <v>1430</v>
      </c>
      <c r="Y518" s="662" t="s">
        <v>1430</v>
      </c>
      <c r="Z518" s="1681" t="s">
        <v>1424</v>
      </c>
    </row>
    <row r="519" spans="1:26">
      <c r="E519" s="1595" t="s">
        <v>1750</v>
      </c>
      <c r="G519" s="4" t="s">
        <v>120</v>
      </c>
      <c r="J519" s="4" t="s">
        <v>1753</v>
      </c>
      <c r="Z519" s="662"/>
    </row>
    <row r="520" spans="1:26">
      <c r="C520" s="2393"/>
      <c r="E520" s="2553" t="s">
        <v>1759</v>
      </c>
      <c r="F520" s="2553"/>
      <c r="Z520" s="662"/>
    </row>
    <row r="521" spans="1:26">
      <c r="C521" s="2393"/>
      <c r="E521" s="339" t="s">
        <v>945</v>
      </c>
      <c r="F521" s="2553"/>
      <c r="Z521" s="662"/>
    </row>
    <row r="522" spans="1:26">
      <c r="E522" s="4" t="s">
        <v>1761</v>
      </c>
      <c r="G522" s="4" t="s">
        <v>1751</v>
      </c>
      <c r="J522" s="4" t="s">
        <v>1851</v>
      </c>
      <c r="Z522" s="662"/>
    </row>
    <row r="523" spans="1:26">
      <c r="E523" s="4" t="s">
        <v>1762</v>
      </c>
      <c r="G523" s="4" t="s">
        <v>1751</v>
      </c>
      <c r="J523" s="4" t="s">
        <v>1754</v>
      </c>
      <c r="Z523" s="662"/>
    </row>
    <row r="524" spans="1:26">
      <c r="E524" s="339" t="s">
        <v>945</v>
      </c>
      <c r="Z524" s="662"/>
    </row>
    <row r="525" spans="1:26">
      <c r="E525" s="4" t="s">
        <v>1763</v>
      </c>
      <c r="G525" s="4" t="s">
        <v>1752</v>
      </c>
      <c r="J525" s="4" t="s">
        <v>1758</v>
      </c>
      <c r="Z525" s="662"/>
    </row>
    <row r="526" spans="1:26">
      <c r="E526" s="4" t="s">
        <v>1764</v>
      </c>
      <c r="G526" s="4" t="s">
        <v>1752</v>
      </c>
      <c r="J526" s="4" t="s">
        <v>1756</v>
      </c>
      <c r="Z526" s="662"/>
    </row>
    <row r="527" spans="1:26">
      <c r="Z527" s="662"/>
    </row>
    <row r="528" spans="1:26">
      <c r="E528" s="2553" t="s">
        <v>1760</v>
      </c>
      <c r="Z528" s="662"/>
    </row>
    <row r="529" spans="1:31">
      <c r="E529" s="339" t="s">
        <v>945</v>
      </c>
      <c r="Z529" s="662"/>
    </row>
    <row r="530" spans="1:31">
      <c r="E530" s="4" t="s">
        <v>1765</v>
      </c>
      <c r="G530" s="4" t="s">
        <v>1751</v>
      </c>
      <c r="J530" s="4" t="s">
        <v>1755</v>
      </c>
      <c r="Z530" s="662"/>
    </row>
    <row r="531" spans="1:31">
      <c r="E531" s="4" t="s">
        <v>1766</v>
      </c>
      <c r="G531" s="4" t="s">
        <v>1752</v>
      </c>
      <c r="J531" s="4" t="s">
        <v>1757</v>
      </c>
      <c r="Z531" s="662"/>
    </row>
    <row r="532" spans="1:31">
      <c r="A532" s="662" t="s">
        <v>1430</v>
      </c>
      <c r="B532" s="662" t="s">
        <v>1430</v>
      </c>
      <c r="C532" s="662" t="s">
        <v>1430</v>
      </c>
      <c r="D532" s="662" t="s">
        <v>1430</v>
      </c>
      <c r="E532" s="1680" t="s">
        <v>1430</v>
      </c>
      <c r="F532" s="1680" t="s">
        <v>1430</v>
      </c>
      <c r="G532" s="1680" t="s">
        <v>1430</v>
      </c>
      <c r="H532" s="1680" t="s">
        <v>1430</v>
      </c>
      <c r="I532" s="1680" t="s">
        <v>1430</v>
      </c>
      <c r="J532" s="1680" t="s">
        <v>1430</v>
      </c>
      <c r="K532" s="662" t="s">
        <v>1430</v>
      </c>
      <c r="L532" s="1680" t="s">
        <v>1430</v>
      </c>
      <c r="M532" s="1680" t="s">
        <v>1430</v>
      </c>
      <c r="N532" s="1680" t="s">
        <v>1430</v>
      </c>
      <c r="O532" s="1680" t="s">
        <v>1430</v>
      </c>
      <c r="P532" s="1680" t="s">
        <v>1430</v>
      </c>
      <c r="Q532" s="1680" t="s">
        <v>1430</v>
      </c>
      <c r="R532" s="1681" t="s">
        <v>1424</v>
      </c>
      <c r="S532" s="662" t="s">
        <v>1430</v>
      </c>
      <c r="T532" s="662" t="s">
        <v>1430</v>
      </c>
      <c r="U532" s="662" t="s">
        <v>1430</v>
      </c>
      <c r="V532" s="662" t="s">
        <v>1430</v>
      </c>
      <c r="W532" s="662" t="s">
        <v>1430</v>
      </c>
      <c r="X532" s="662" t="s">
        <v>1430</v>
      </c>
      <c r="Y532" s="662" t="s">
        <v>1430</v>
      </c>
      <c r="Z532" s="1681" t="s">
        <v>1424</v>
      </c>
      <c r="AA532" s="662" t="s">
        <v>1430</v>
      </c>
      <c r="AB532" s="662" t="s">
        <v>1430</v>
      </c>
      <c r="AC532" s="662" t="s">
        <v>1430</v>
      </c>
      <c r="AD532" s="662" t="s">
        <v>1430</v>
      </c>
      <c r="AE532" s="1681" t="s">
        <v>1424</v>
      </c>
    </row>
  </sheetData>
  <sheetProtection algorithmName="SHA-512" hashValue="rQHnc+DAQ/s+c/CHmKq4pcRiaYlOpnA9Gd9N/fku0LttyHemw1jhZX5dU525tGo+RAzMflK7VL6KOnYOmdIlbQ==" saltValue="iq5hrAECrBcq4OvG3JHmIQ==" spinCount="100000" sheet="1" objects="1" scenarios="1"/>
  <mergeCells count="8">
    <mergeCell ref="M284:N284"/>
    <mergeCell ref="K400:L400"/>
    <mergeCell ref="U334:V334"/>
    <mergeCell ref="F369:L369"/>
    <mergeCell ref="W334:X334"/>
    <mergeCell ref="R334:T334"/>
    <mergeCell ref="K399:L399"/>
    <mergeCell ref="M355:N355"/>
  </mergeCells>
  <phoneticPr fontId="56" type="noConversion"/>
  <conditionalFormatting sqref="E222:E224">
    <cfRule type="duplicateValues" dxfId="332" priority="12"/>
  </conditionalFormatting>
  <conditionalFormatting sqref="E340:E391 E289:E338">
    <cfRule type="duplicateValues" dxfId="331" priority="10"/>
  </conditionalFormatting>
  <conditionalFormatting sqref="F340:F391 F289:F338">
    <cfRule type="duplicateValues" dxfId="330" priority="9"/>
  </conditionalFormatting>
  <conditionalFormatting sqref="F222:F224">
    <cfRule type="duplicateValues" dxfId="329" priority="7"/>
  </conditionalFormatting>
  <conditionalFormatting sqref="E339">
    <cfRule type="duplicateValues" dxfId="328" priority="5"/>
  </conditionalFormatting>
  <conditionalFormatting sqref="F339">
    <cfRule type="duplicateValues" dxfId="327" priority="4"/>
  </conditionalFormatting>
  <conditionalFormatting sqref="E69:E72">
    <cfRule type="duplicateValues" dxfId="326" priority="2"/>
  </conditionalFormatting>
  <conditionalFormatting sqref="F69:F72">
    <cfRule type="duplicateValues" dxfId="325" priority="3"/>
  </conditionalFormatting>
  <conditionalFormatting sqref="E7:E67">
    <cfRule type="duplicateValues" dxfId="324" priority="444"/>
  </conditionalFormatting>
  <conditionalFormatting sqref="F7:F67">
    <cfRule type="duplicateValues" dxfId="323" priority="446"/>
  </conditionalFormatting>
  <conditionalFormatting sqref="E81:E220">
    <cfRule type="duplicateValues" dxfId="322" priority="447"/>
  </conditionalFormatting>
  <conditionalFormatting sqref="F80:F220">
    <cfRule type="duplicateValues" dxfId="321" priority="451"/>
  </conditionalFormatting>
  <conditionalFormatting sqref="E227:E282">
    <cfRule type="duplicateValues" dxfId="320" priority="454"/>
  </conditionalFormatting>
  <conditionalFormatting sqref="F227:F282">
    <cfRule type="duplicateValues" dxfId="319" priority="456"/>
  </conditionalFormatting>
  <pageMargins left="0.70866141732283472" right="0" top="0.31496062992125984" bottom="0.31496062992125984" header="0.15748031496062992" footer="0.15748031496062992"/>
  <pageSetup paperSize="9" fitToHeight="0" orientation="portrait" horizontalDpi="1200" verticalDpi="1200" r:id="rId1"/>
  <headerFooter alignWithMargins="0">
    <oddFooter>&amp;C&amp;"Arial,Standard"&amp;8&amp;F &amp;A&amp;R&amp;"Arial,Standard"&amp;8&amp;D</oddFooter>
  </headerFooter>
  <rowBreaks count="2" manualBreakCount="2">
    <brk id="154" min="4" max="11" man="1"/>
    <brk id="334" min="4" max="11" man="1"/>
  </row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8">
    <tabColor indexed="43"/>
    <pageSetUpPr fitToPage="1"/>
  </sheetPr>
  <dimension ref="A1:AH60"/>
  <sheetViews>
    <sheetView showGridLines="0" showRowColHeaders="0" zoomScale="110" zoomScaleNormal="110" workbookViewId="0">
      <pane ySplit="9" topLeftCell="A10" activePane="bottomLeft" state="frozen"/>
      <selection pane="bottomLeft"/>
    </sheetView>
  </sheetViews>
  <sheetFormatPr baseColWidth="10" defaultColWidth="12.7109375" defaultRowHeight="12" customHeight="1"/>
  <cols>
    <col min="1" max="1" width="9.7109375" style="306" customWidth="1"/>
    <col min="2" max="2" width="6.7109375" style="306" customWidth="1"/>
    <col min="3" max="3" width="40.7109375" style="306" customWidth="1"/>
    <col min="4" max="4" width="7.7109375" style="306" customWidth="1"/>
    <col min="5" max="5" width="8.28515625" style="306" customWidth="1"/>
    <col min="6" max="7" width="6.85546875" style="306" customWidth="1"/>
    <col min="8" max="8" width="6.7109375" style="306" customWidth="1"/>
    <col min="9" max="9" width="6.28515625" style="306" customWidth="1"/>
    <col min="10" max="10" width="2.28515625" style="306" customWidth="1"/>
    <col min="11" max="11" width="6.5703125" style="306" customWidth="1"/>
    <col min="12" max="12" width="6.7109375" style="306" customWidth="1"/>
    <col min="13" max="13" width="6.5703125" style="306" customWidth="1"/>
    <col min="14" max="15" width="7.7109375" style="306" customWidth="1"/>
    <col min="16" max="16" width="6.42578125" style="306" customWidth="1"/>
    <col min="17" max="17" width="5.85546875" style="306" customWidth="1"/>
    <col min="18" max="19" width="7.42578125" style="306" customWidth="1"/>
    <col min="20" max="21" width="8" style="306" customWidth="1"/>
    <col min="22" max="24" width="12.7109375" style="306" customWidth="1"/>
    <col min="25" max="25" width="18.42578125" style="306" customWidth="1"/>
    <col min="26" max="16384" width="12.7109375" style="306"/>
  </cols>
  <sheetData>
    <row r="1" spans="1:34" ht="18">
      <c r="A1" s="577"/>
      <c r="C1" s="578" t="str">
        <f>"Suisse-Bilanz "&amp;Suisse_Bilanz_1.20!K8</f>
        <v>Suisse-Bilanz 2026</v>
      </c>
      <c r="I1" s="933" t="str">
        <f>Suisse_Bilanz_1.20!C8&amp;IF(Suisse_Bilanz_1.20!I8&lt;&gt;0,"      Nr. "&amp;Suisse_Bilanz_1.20!I8,"")</f>
        <v xml:space="preserve">  Original</v>
      </c>
      <c r="Q1" s="932"/>
      <c r="AC1" s="4"/>
      <c r="AH1" s="577"/>
    </row>
    <row r="2" spans="1:34" ht="30.75" customHeight="1">
      <c r="A2" s="596"/>
      <c r="B2" s="540"/>
      <c r="C2" s="578" t="s">
        <v>1570</v>
      </c>
      <c r="I2" s="934">
        <f>Suisse_Bilanz_1.20!C9</f>
        <v>0</v>
      </c>
      <c r="P2" s="3627">
        <f ca="1">Suisse_Bilanz_1.20!O8</f>
        <v>46091</v>
      </c>
      <c r="Q2" s="3627"/>
      <c r="AE2" s="306" t="s">
        <v>1581</v>
      </c>
    </row>
    <row r="3" spans="1:34" ht="21.95" customHeight="1">
      <c r="B3" s="540" t="s">
        <v>1204</v>
      </c>
      <c r="C3" s="579" t="s">
        <v>2100</v>
      </c>
    </row>
    <row r="4" spans="1:34" ht="8.1" customHeight="1"/>
    <row r="5" spans="1:34" ht="15" customHeight="1" thickBot="1">
      <c r="N5" s="3634" t="s">
        <v>594</v>
      </c>
      <c r="O5" s="3636"/>
      <c r="R5" s="3631" t="s">
        <v>1093</v>
      </c>
      <c r="S5" s="3632"/>
      <c r="T5" s="3632"/>
      <c r="U5" s="3633"/>
    </row>
    <row r="6" spans="1:34" ht="15" customHeight="1" thickBot="1">
      <c r="B6" s="339"/>
      <c r="C6" s="339"/>
      <c r="D6" s="339"/>
      <c r="E6" s="339"/>
      <c r="F6" s="3628" t="s">
        <v>593</v>
      </c>
      <c r="G6" s="3629"/>
      <c r="H6" s="3629"/>
      <c r="I6" s="3630"/>
      <c r="K6" s="3634" t="s">
        <v>1094</v>
      </c>
      <c r="L6" s="3635"/>
      <c r="M6" s="3636"/>
      <c r="N6" s="3655" t="s">
        <v>586</v>
      </c>
      <c r="O6" s="3656"/>
      <c r="P6" s="3637" t="s">
        <v>1092</v>
      </c>
      <c r="Q6" s="3638"/>
      <c r="R6" s="305"/>
      <c r="U6" s="541"/>
      <c r="AE6" s="306" t="s">
        <v>2121</v>
      </c>
    </row>
    <row r="7" spans="1:34" ht="15" thickBot="1">
      <c r="C7" s="1649" t="s">
        <v>1301</v>
      </c>
      <c r="D7" s="1650" t="s">
        <v>52</v>
      </c>
      <c r="E7" s="543" t="s">
        <v>590</v>
      </c>
      <c r="F7" s="647" t="s">
        <v>1428</v>
      </c>
      <c r="G7" s="648" t="s">
        <v>924</v>
      </c>
      <c r="H7" s="649" t="s">
        <v>925</v>
      </c>
      <c r="I7" s="650" t="s">
        <v>64</v>
      </c>
      <c r="K7" s="639" t="s">
        <v>1090</v>
      </c>
      <c r="L7" s="640" t="s">
        <v>1091</v>
      </c>
      <c r="M7" s="641" t="s">
        <v>659</v>
      </c>
      <c r="N7" s="3657" t="s">
        <v>587</v>
      </c>
      <c r="O7" s="3658"/>
      <c r="P7" s="644" t="s">
        <v>1091</v>
      </c>
      <c r="Q7" s="645" t="s">
        <v>659</v>
      </c>
      <c r="R7" s="3645" t="s">
        <v>828</v>
      </c>
      <c r="S7" s="3646"/>
      <c r="T7" s="3645" t="s">
        <v>829</v>
      </c>
      <c r="U7" s="3646"/>
    </row>
    <row r="8" spans="1:34" ht="16.5" thickBot="1">
      <c r="B8" s="937" t="s">
        <v>1302</v>
      </c>
      <c r="C8" s="938" t="s">
        <v>88</v>
      </c>
      <c r="D8" s="1651"/>
      <c r="E8" s="646" t="s">
        <v>591</v>
      </c>
      <c r="F8" s="652" t="s">
        <v>592</v>
      </c>
      <c r="G8" s="651"/>
      <c r="H8" s="544"/>
      <c r="I8" s="545"/>
      <c r="K8" s="634" t="s">
        <v>589</v>
      </c>
      <c r="L8" s="635" t="s">
        <v>588</v>
      </c>
      <c r="M8" s="636" t="s">
        <v>588</v>
      </c>
      <c r="N8" s="637" t="s">
        <v>61</v>
      </c>
      <c r="O8" s="638" t="s">
        <v>924</v>
      </c>
      <c r="P8" s="642" t="s">
        <v>588</v>
      </c>
      <c r="Q8" s="643" t="s">
        <v>588</v>
      </c>
      <c r="R8" s="547" t="s">
        <v>1095</v>
      </c>
      <c r="S8" s="546" t="s">
        <v>62</v>
      </c>
      <c r="T8" s="547" t="s">
        <v>1095</v>
      </c>
      <c r="U8" s="548" t="s">
        <v>62</v>
      </c>
    </row>
    <row r="9" spans="1:34" s="339" customFormat="1" ht="3.95" customHeight="1">
      <c r="B9" s="428"/>
      <c r="D9" s="550"/>
      <c r="F9" s="551"/>
      <c r="G9" s="551"/>
      <c r="J9" s="552"/>
      <c r="K9" s="553"/>
      <c r="L9" s="553"/>
      <c r="M9" s="554"/>
      <c r="N9" s="555"/>
      <c r="O9" s="555"/>
      <c r="P9" s="556"/>
      <c r="Q9" s="556"/>
    </row>
    <row r="10" spans="1:34" s="339" customFormat="1" ht="15" customHeight="1">
      <c r="A10" s="929" t="s">
        <v>1096</v>
      </c>
      <c r="B10" s="935" t="str">
        <f>IF(ISBLANK(C10),"",VLOOKUP(C10,Daten!$B$336:$E$351,4,FALSE))</f>
        <v/>
      </c>
      <c r="C10" s="1709"/>
      <c r="D10" s="1653" t="str">
        <f>IF(ISBLANK(C10),"",VLOOKUP(B10,Daten!$E$289:$L$391,3,FALSE))</f>
        <v/>
      </c>
      <c r="E10" s="2575" t="str">
        <f>IF(ISBLANK(C10),"",VLOOKUP(B10,Daten!$E$289:$L$391,4,FALSE))</f>
        <v/>
      </c>
      <c r="F10" s="557" t="str">
        <f>IF(ISBLANK(C10),"",VLOOKUP(B10,Daten!$E$289:$L$391,5,FALSE))</f>
        <v/>
      </c>
      <c r="G10" s="558" t="str">
        <f>IF(ISBLANK(C10),"",VLOOKUP(B10,Daten!$E$289:$L$391,6,FALSE))</f>
        <v/>
      </c>
      <c r="H10" s="558" t="str">
        <f>IF(ISBLANK(C10),"",VLOOKUP(B10,Daten!$E$289:$L$391,7,FALSE))</f>
        <v/>
      </c>
      <c r="I10" s="559" t="str">
        <f>IF(ISBLANK(C10),"",VLOOKUP(B10,Daten!$E$289:$L$391,8,FALSE))</f>
        <v/>
      </c>
      <c r="J10" s="560"/>
      <c r="K10" s="561" t="str">
        <f>IF(ISBLANK(C10),"",VLOOKUP(B10,Daten!$E$289:$X$391,14,FALSE))</f>
        <v/>
      </c>
      <c r="L10" s="562" t="str">
        <f>IF(ISBLANK(C10),"",VLOOKUP(B10,Daten!$E$289:$X$391,15,FALSE))</f>
        <v/>
      </c>
      <c r="M10" s="563" t="str">
        <f>IF(ISBLANK(C10),"",VLOOKUP(B10,Daten!$E$289:$X$391,16,FALSE))</f>
        <v/>
      </c>
      <c r="N10" s="632" t="str">
        <f>IF(ISBLANK(C10),"",VLOOKUP(B10,Daten!$E$289:$X$391,17,FALSE))</f>
        <v/>
      </c>
      <c r="O10" s="633" t="str">
        <f>IF(ISBLANK(C10),"",VLOOKUP(B10,Daten!$E$289:$X$391,18,FALSE))</f>
        <v/>
      </c>
      <c r="P10" s="653"/>
      <c r="Q10" s="654"/>
      <c r="R10" s="564" t="str">
        <f>IF(ISBLANK(C10),"",VLOOKUP(B10,Daten!$E$289:$X$391,19,FALSE))</f>
        <v/>
      </c>
      <c r="S10" s="565" t="str">
        <f>IF(ISBLANK(C10),"",VLOOKUP(B10,Daten!$E$289:$X$391,20,FALSE))</f>
        <v/>
      </c>
      <c r="T10" s="566" t="e">
        <f>(R10/F10)-1</f>
        <v>#VALUE!</v>
      </c>
      <c r="U10" s="567" t="e">
        <f>(S10/G10)-1</f>
        <v>#VALUE!</v>
      </c>
    </row>
    <row r="11" spans="1:34" s="339" customFormat="1" ht="18" customHeight="1">
      <c r="A11" s="930" t="s">
        <v>1406</v>
      </c>
      <c r="B11" s="936" t="str">
        <f>IF(ISBLANK(C10),"","lk1")</f>
        <v/>
      </c>
      <c r="C11" s="1232" t="str">
        <f>IF(B11="","",IF(AND(ISNUMBER(K11*L11*M11),K11&lt;&gt;""),ROUND(K11,2)&amp;" MJ "&amp;ROUND(L11,2)&amp;" RP "&amp;ROUND(M11,2)&amp;" P: "&amp;VLOOKUP(B10,Daten!$E$289:$L$391,2,FALSE),IF(B10="zsp","mittlere Futtergehalte unten berechnen + rechts eingeben", "mittlere Futtergehalte weiter rechts eingeben!")))</f>
        <v/>
      </c>
      <c r="D11" s="1652" t="str">
        <f>D10</f>
        <v/>
      </c>
      <c r="E11" s="2576" t="str">
        <f>E10</f>
        <v/>
      </c>
      <c r="F11" s="1233" t="str">
        <f>IF((L11+M11)=0,"",IF(K11*L11&gt;0,F10*(1+N11),F10))</f>
        <v/>
      </c>
      <c r="G11" s="1234" t="str">
        <f>IF((L11+M11)=0,"",IF(K11*M11&gt;0,G10*(1+O11),G10))</f>
        <v/>
      </c>
      <c r="H11" s="568" t="str">
        <f>IF(ISNUMBER(F11),H10,"")</f>
        <v/>
      </c>
      <c r="I11" s="569" t="str">
        <f>IF(ISNUMBER(F11),I10,"")</f>
        <v/>
      </c>
      <c r="J11" s="552"/>
      <c r="K11" s="1621"/>
      <c r="L11" s="1622"/>
      <c r="M11" s="1623"/>
      <c r="N11" s="1237" t="str">
        <f>IF(ISNUMBER(P11),IF((P11-L10)*N10&lt;T10,T10,(P11-L10)*N10),"")</f>
        <v/>
      </c>
      <c r="O11" s="1238" t="str">
        <f>IF(ISNUMBER(Q11),IF((Q11-M10)*O10&lt;U10,U10,(Q11-M10)*O10),"")</f>
        <v/>
      </c>
      <c r="P11" s="533" t="str">
        <f>IF(AND(K11&gt;0,L11&gt;0),L11/K11*K10,"")</f>
        <v/>
      </c>
      <c r="Q11" s="534" t="str">
        <f>IF(AND(K11&gt;0,M11&gt;0),M11/K11*K10,"")</f>
        <v/>
      </c>
      <c r="R11" s="570"/>
      <c r="S11" s="571"/>
      <c r="T11" s="572"/>
      <c r="U11" s="571"/>
    </row>
    <row r="12" spans="1:34" s="339" customFormat="1" ht="3.95" customHeight="1">
      <c r="B12" s="428" t="s">
        <v>79</v>
      </c>
      <c r="D12" s="550"/>
      <c r="E12" s="2577"/>
      <c r="F12" s="551"/>
      <c r="G12" s="551"/>
      <c r="J12" s="552"/>
      <c r="K12" s="553"/>
      <c r="L12" s="553"/>
      <c r="M12" s="554"/>
      <c r="N12" s="1239"/>
      <c r="O12" s="1239"/>
      <c r="P12" s="556"/>
      <c r="Q12" s="556"/>
    </row>
    <row r="13" spans="1:34" ht="15" customHeight="1">
      <c r="A13" s="929" t="s">
        <v>1096</v>
      </c>
      <c r="B13" s="935" t="str">
        <f>IF(ISBLANK(C13),"",VLOOKUP(C13,Daten!$B$336:$E$351,4,FALSE))</f>
        <v/>
      </c>
      <c r="C13" s="1709"/>
      <c r="D13" s="1653" t="str">
        <f>IF(ISBLANK(C13),"",VLOOKUP(B13,Daten!$E$289:$L$391,3,FALSE))</f>
        <v/>
      </c>
      <c r="E13" s="2575" t="str">
        <f>IF(ISBLANK(C13),"",VLOOKUP(B13,Daten!$E$289:$L$391,4,FALSE))</f>
        <v/>
      </c>
      <c r="F13" s="557" t="str">
        <f>IF(ISBLANK(C13),"",VLOOKUP(B13,Daten!$E$289:$L$391,5,FALSE))</f>
        <v/>
      </c>
      <c r="G13" s="558" t="str">
        <f>IF(ISBLANK(C13),"",VLOOKUP(B13,Daten!$E$289:$L$391,6,FALSE))</f>
        <v/>
      </c>
      <c r="H13" s="558" t="str">
        <f>IF(ISBLANK(C13),"",VLOOKUP(B13,Daten!$E$289:$L$391,7,FALSE))</f>
        <v/>
      </c>
      <c r="I13" s="559" t="str">
        <f>IF(ISBLANK(C13),"",VLOOKUP(B13,Daten!$E$289:$L$391,8,FALSE))</f>
        <v/>
      </c>
      <c r="J13" s="560"/>
      <c r="K13" s="561" t="str">
        <f>IF(ISBLANK(C13),"",VLOOKUP(B13,Daten!$E$289:$X$391,14,FALSE))</f>
        <v/>
      </c>
      <c r="L13" s="562" t="str">
        <f>IF(ISBLANK(C13),"",VLOOKUP(B13,Daten!$E$289:$X$391,15,FALSE))</f>
        <v/>
      </c>
      <c r="M13" s="563" t="str">
        <f>IF(ISBLANK(C13),"",VLOOKUP(B13,Daten!$E$289:$X$391,16,FALSE))</f>
        <v/>
      </c>
      <c r="N13" s="632" t="str">
        <f>IF(ISBLANK(C13),"",VLOOKUP(B13,Daten!$E$289:$X$391,17,FALSE))</f>
        <v/>
      </c>
      <c r="O13" s="633" t="str">
        <f>IF(ISBLANK(C13),"",VLOOKUP(B13,Daten!$E$289:$X$391,18,FALSE))</f>
        <v/>
      </c>
      <c r="P13" s="653"/>
      <c r="Q13" s="654"/>
      <c r="R13" s="564" t="str">
        <f>IF(ISBLANK(C13),"",VLOOKUP(B13,Daten!$E$289:$X$391,19,FALSE))</f>
        <v/>
      </c>
      <c r="S13" s="565" t="str">
        <f>IF(ISBLANK(C13),"",VLOOKUP(B13,Daten!$E$289:$X$391,20,FALSE))</f>
        <v/>
      </c>
      <c r="T13" s="566" t="e">
        <f>(R13/F13)-1</f>
        <v>#VALUE!</v>
      </c>
      <c r="U13" s="567" t="e">
        <f>(S13/G13)-1</f>
        <v>#VALUE!</v>
      </c>
    </row>
    <row r="14" spans="1:34" ht="18" customHeight="1">
      <c r="A14" s="930" t="s">
        <v>1407</v>
      </c>
      <c r="B14" s="931" t="str">
        <f>IF(ISBLANK(C13),"","lk2")</f>
        <v/>
      </c>
      <c r="C14" s="1232" t="str">
        <f>IF(B14="","",IF(AND(ISNUMBER(K14*L14*M14),K14&lt;&gt;""),ROUND(K14,2)&amp;" MJ "&amp;ROUND(L14,2)&amp;" RP "&amp;ROUND(M14,2)&amp;" P: "&amp;VLOOKUP(B13,Daten!$E$289:$L$391,2,FALSE),IF(B13="zsp","mittlere Futtergehalte unten berechnen + rechts eingeben", "mittlere Futtergehalte weiter rechts eingeben!")))</f>
        <v/>
      </c>
      <c r="D14" s="1653" t="str">
        <f>D13</f>
        <v/>
      </c>
      <c r="E14" s="2575" t="str">
        <f>E13</f>
        <v/>
      </c>
      <c r="F14" s="1235" t="str">
        <f>IF((L14+M14)=0,"",IF(K14*L14&gt;0,F13*(1+N14),F13))</f>
        <v/>
      </c>
      <c r="G14" s="1236" t="str">
        <f>IF((L14+M14)=0,"",IF(K14*M14&gt;0,G13*(1+O14),G13))</f>
        <v/>
      </c>
      <c r="H14" s="558" t="str">
        <f>IF(ISNUMBER(F14),H13,"")</f>
        <v/>
      </c>
      <c r="I14" s="559" t="str">
        <f>IF(ISNUMBER(F14),I13,"")</f>
        <v/>
      </c>
      <c r="J14" s="552"/>
      <c r="K14" s="1621"/>
      <c r="L14" s="1622"/>
      <c r="M14" s="1623"/>
      <c r="N14" s="1237" t="str">
        <f>IF(ISNUMBER(P14),IF((P14-L13)*N13&lt;T13,T13,(P14-L13)*N13),"")</f>
        <v/>
      </c>
      <c r="O14" s="1238" t="str">
        <f>IF(ISNUMBER(Q14),IF((Q14-M13)*O13&lt;U13,U13,(Q14-M13)*O13),"")</f>
        <v/>
      </c>
      <c r="P14" s="533" t="str">
        <f>IF(AND(K14&gt;0,L14&gt;0),L14/K14*K13,"")</f>
        <v/>
      </c>
      <c r="Q14" s="534" t="str">
        <f>IF(AND(K14&gt;0,M14&gt;0),M14/K14*K13,"")</f>
        <v/>
      </c>
      <c r="R14" s="570"/>
      <c r="S14" s="571"/>
      <c r="T14" s="572"/>
      <c r="U14" s="571"/>
    </row>
    <row r="15" spans="1:34" s="339" customFormat="1" ht="3.95" customHeight="1">
      <c r="B15" s="428" t="s">
        <v>79</v>
      </c>
      <c r="D15" s="550"/>
      <c r="E15" s="2577"/>
      <c r="F15" s="551"/>
      <c r="G15" s="551"/>
      <c r="J15" s="552"/>
      <c r="K15" s="306"/>
      <c r="L15" s="306"/>
      <c r="M15" s="306"/>
      <c r="N15" s="1239"/>
      <c r="O15" s="1239"/>
      <c r="P15" s="556"/>
      <c r="Q15" s="556"/>
    </row>
    <row r="16" spans="1:34" ht="15" customHeight="1">
      <c r="A16" s="929" t="s">
        <v>1096</v>
      </c>
      <c r="B16" s="931" t="str">
        <f>IF(ISBLANK(C16),"",VLOOKUP(C16,Daten!$B$336:$E$351,4,FALSE))</f>
        <v/>
      </c>
      <c r="C16" s="1709"/>
      <c r="D16" s="1653" t="str">
        <f>IF(ISBLANK(C16),"",VLOOKUP(B16,Daten!$E$289:$L$391,3,FALSE))</f>
        <v/>
      </c>
      <c r="E16" s="2575" t="str">
        <f>IF(ISBLANK(C16),"",VLOOKUP(B16,Daten!$E$289:$L$391,4,FALSE))</f>
        <v/>
      </c>
      <c r="F16" s="557" t="str">
        <f>IF(ISBLANK(C16),"",VLOOKUP(B16,Daten!$E$289:$L$391,5,FALSE))</f>
        <v/>
      </c>
      <c r="G16" s="558" t="str">
        <f>IF(ISBLANK(C16),"",VLOOKUP(B16,Daten!$E$289:$L$391,6,FALSE))</f>
        <v/>
      </c>
      <c r="H16" s="558" t="str">
        <f>IF(ISBLANK(C16),"",VLOOKUP(B16,Daten!$E$289:$L$391,7,FALSE))</f>
        <v/>
      </c>
      <c r="I16" s="559" t="str">
        <f>IF(ISBLANK(C16),"",VLOOKUP(B16,Daten!$E$289:$L$391,8,FALSE))</f>
        <v/>
      </c>
      <c r="J16" s="560"/>
      <c r="K16" s="561" t="str">
        <f>IF(ISBLANK(C16),"",VLOOKUP(B16,Daten!$E$289:$X$391,14,FALSE))</f>
        <v/>
      </c>
      <c r="L16" s="562" t="str">
        <f>IF(ISBLANK(C16),"",VLOOKUP(B16,Daten!$E$289:$X$391,15,FALSE))</f>
        <v/>
      </c>
      <c r="M16" s="563" t="str">
        <f>IF(ISBLANK(C16),"",VLOOKUP(B16,Daten!$E$289:$X$391,16,FALSE))</f>
        <v/>
      </c>
      <c r="N16" s="632" t="str">
        <f>IF(ISBLANK(C16),"",VLOOKUP(B16,Daten!$E$289:$X$391,17,FALSE))</f>
        <v/>
      </c>
      <c r="O16" s="633" t="str">
        <f>IF(ISBLANK(C16),"",VLOOKUP(B16,Daten!$E$289:$X$391,18,FALSE))</f>
        <v/>
      </c>
      <c r="P16" s="653"/>
      <c r="Q16" s="654"/>
      <c r="R16" s="564" t="str">
        <f>IF(ISBLANK(C16),"",VLOOKUP(B16,Daten!$E$289:$X$391,19,FALSE))</f>
        <v/>
      </c>
      <c r="S16" s="565" t="str">
        <f>IF(ISBLANK(C16),"",VLOOKUP(B16,Daten!$E$289:$X$391,20,FALSE))</f>
        <v/>
      </c>
      <c r="T16" s="566" t="e">
        <f>(R16/F16)-1</f>
        <v>#VALUE!</v>
      </c>
      <c r="U16" s="567" t="e">
        <f>(S16/G16)-1</f>
        <v>#VALUE!</v>
      </c>
    </row>
    <row r="17" spans="1:21" ht="18" customHeight="1">
      <c r="A17" s="930" t="s">
        <v>1408</v>
      </c>
      <c r="B17" s="936" t="str">
        <f>IF(ISBLANK(C16),"","lk3")</f>
        <v/>
      </c>
      <c r="C17" s="1232" t="str">
        <f>IF(B17="","",IF(AND(ISNUMBER(K17*L17*M17),K17&lt;&gt;""),ROUND(K17,2)&amp;" MJ "&amp;ROUND(L17,2)&amp;" RP "&amp;ROUND(M17,2)&amp;" P: "&amp;VLOOKUP(B16,Daten!$E$289:$L$391,2,FALSE),IF(B16="zsp","mittlere Futtergehalte unten berechnen + rechts eingeben", "mittlere Futtergehalte weiter rechts eingeben !")))</f>
        <v/>
      </c>
      <c r="D17" s="1652" t="str">
        <f>D16</f>
        <v/>
      </c>
      <c r="E17" s="2576" t="str">
        <f>E16</f>
        <v/>
      </c>
      <c r="F17" s="1233" t="str">
        <f>IF((L17+M17)=0,"",IF(K17*L17&gt;0,F16*(1+N17),F16))</f>
        <v/>
      </c>
      <c r="G17" s="1234" t="str">
        <f>IF((L17+M17)=0,"",IF(K17*M17&gt;0,G16*(1+O17),G16))</f>
        <v/>
      </c>
      <c r="H17" s="568" t="str">
        <f>IF(ISNUMBER(F17),H16,"")</f>
        <v/>
      </c>
      <c r="I17" s="569" t="str">
        <f>IF(ISNUMBER(F17),I16,"")</f>
        <v/>
      </c>
      <c r="J17" s="552"/>
      <c r="K17" s="1621"/>
      <c r="L17" s="1622"/>
      <c r="M17" s="1623"/>
      <c r="N17" s="1237" t="str">
        <f>IF(ISNUMBER(P17),IF((P17-L16)*N16&lt;T16,T16,(P17-L16)*N16),"")</f>
        <v/>
      </c>
      <c r="O17" s="1238" t="str">
        <f>IF(ISNUMBER(Q17),IF((Q17-M16)*O16&lt;U16,U16,(Q17-M16)*O16),"")</f>
        <v/>
      </c>
      <c r="P17" s="533" t="str">
        <f>IF(AND(K17&gt;0,L17&gt;0),L17/K17*K16,"")</f>
        <v/>
      </c>
      <c r="Q17" s="534" t="str">
        <f>IF(AND(K17&gt;0,M17&gt;0),M17/K17*K16,"")</f>
        <v/>
      </c>
      <c r="R17" s="570"/>
      <c r="S17" s="571"/>
      <c r="T17" s="572"/>
      <c r="U17" s="571"/>
    </row>
    <row r="18" spans="1:21" ht="3.95" customHeight="1">
      <c r="A18" s="573"/>
      <c r="B18" s="428" t="s">
        <v>79</v>
      </c>
      <c r="C18" s="339"/>
      <c r="D18" s="550"/>
      <c r="E18" s="2577"/>
      <c r="F18" s="551"/>
      <c r="G18" s="551"/>
      <c r="H18" s="339"/>
      <c r="I18" s="339"/>
      <c r="J18" s="552"/>
      <c r="N18" s="1239"/>
      <c r="O18" s="1239"/>
      <c r="P18" s="556"/>
      <c r="Q18" s="556"/>
      <c r="R18" s="339"/>
      <c r="S18" s="339"/>
      <c r="T18" s="339"/>
      <c r="U18" s="339"/>
    </row>
    <row r="19" spans="1:21" ht="15" customHeight="1">
      <c r="A19" s="929" t="s">
        <v>1096</v>
      </c>
      <c r="B19" s="935" t="str">
        <f>IF(ISBLANK(C19),"",VLOOKUP(C19,Daten!$B$336:$E$351,4,FALSE))</f>
        <v/>
      </c>
      <c r="C19" s="1709"/>
      <c r="D19" s="1653" t="str">
        <f>IF(ISBLANK(C19),"",VLOOKUP(B19,Daten!$E$289:$L$391,3,FALSE))</f>
        <v/>
      </c>
      <c r="E19" s="2575" t="str">
        <f>IF(ISBLANK(C19),"",VLOOKUP(B19,Daten!$E$289:$L$391,4,FALSE))</f>
        <v/>
      </c>
      <c r="F19" s="557" t="str">
        <f>IF(ISBLANK(C19),"",VLOOKUP(B19,Daten!$E$289:$L$391,5,FALSE))</f>
        <v/>
      </c>
      <c r="G19" s="558" t="str">
        <f>IF(ISBLANK(C19),"",VLOOKUP(B19,Daten!$E$289:$L$391,6,FALSE))</f>
        <v/>
      </c>
      <c r="H19" s="558" t="str">
        <f>IF(ISBLANK(C19),"",VLOOKUP(B19,Daten!$E$289:$L$391,7,FALSE))</f>
        <v/>
      </c>
      <c r="I19" s="559" t="str">
        <f>IF(ISBLANK(C19),"",VLOOKUP(B19,Daten!$E$289:$L$391,8,FALSE))</f>
        <v/>
      </c>
      <c r="K19" s="561" t="str">
        <f>IF(ISBLANK(C19),"",VLOOKUP(B19,Daten!$E$289:$X$391,14,FALSE))</f>
        <v/>
      </c>
      <c r="L19" s="562" t="str">
        <f>IF(ISBLANK(C19),"",VLOOKUP(B19,Daten!$E$289:$X$391,15,FALSE))</f>
        <v/>
      </c>
      <c r="M19" s="563" t="str">
        <f>IF(ISBLANK(C19),"",VLOOKUP(B19,Daten!$E$289:$X$391,16,FALSE))</f>
        <v/>
      </c>
      <c r="N19" s="632" t="str">
        <f>IF(ISBLANK(C19),"",VLOOKUP(B19,Daten!$E$289:$X$391,17,FALSE))</f>
        <v/>
      </c>
      <c r="O19" s="633" t="str">
        <f>IF(ISBLANK(C19),"",VLOOKUP(B19,Daten!$E$289:$X$391,18,FALSE))</f>
        <v/>
      </c>
      <c r="P19" s="653"/>
      <c r="Q19" s="654"/>
      <c r="R19" s="564" t="str">
        <f>IF(ISBLANK(C19),"",VLOOKUP(B19,Daten!$E$289:$X$391,19,FALSE))</f>
        <v/>
      </c>
      <c r="S19" s="565" t="str">
        <f>IF(ISBLANK(C19),"",VLOOKUP(B19,Daten!$E$289:$X$391,20,FALSE))</f>
        <v/>
      </c>
      <c r="T19" s="566" t="e">
        <f>(R19/F19)-1</f>
        <v>#VALUE!</v>
      </c>
      <c r="U19" s="567" t="e">
        <f>(S19/G19)-1</f>
        <v>#VALUE!</v>
      </c>
    </row>
    <row r="20" spans="1:21" ht="18" customHeight="1">
      <c r="A20" s="930" t="s">
        <v>1409</v>
      </c>
      <c r="B20" s="936" t="str">
        <f>IF(ISBLANK(C19),"","lk4")</f>
        <v/>
      </c>
      <c r="C20" s="1232" t="str">
        <f>IF(B20="","",IF(AND(ISNUMBER(K20*L20*M20),K20&lt;&gt;""),ROUND(K20,2)&amp;" MJ "&amp;ROUND(L20,2)&amp;" RP "&amp;ROUND(M20,2)&amp;" P: "&amp;VLOOKUP(B19,Daten!$E$289:$L$391,2,FALSE),IF(B19="zsp","mittlere Futtergehalte unten berechnen + rechts eingeben", "mittlere Futtergehalte weiter rechts eingeben!")))</f>
        <v/>
      </c>
      <c r="D20" s="1652" t="str">
        <f>D19</f>
        <v/>
      </c>
      <c r="E20" s="2576" t="str">
        <f>E19</f>
        <v/>
      </c>
      <c r="F20" s="1233" t="str">
        <f>IF((L20+M20)=0,"",IF(K20*L20&gt;0,F19*(1+N20),F19))</f>
        <v/>
      </c>
      <c r="G20" s="1234" t="str">
        <f>IF((L20+M20)=0,"",IF(K20*M20&gt;0,G19*(1+O20),G19))</f>
        <v/>
      </c>
      <c r="H20" s="568" t="str">
        <f>IF(ISNUMBER(F20),H19,"")</f>
        <v/>
      </c>
      <c r="I20" s="569" t="str">
        <f>IF(ISNUMBER(F20),I19,"")</f>
        <v/>
      </c>
      <c r="K20" s="1621"/>
      <c r="L20" s="1622"/>
      <c r="M20" s="1623"/>
      <c r="N20" s="1237" t="str">
        <f>IF(ISNUMBER(P20),IF((P20-L19)*N19&lt;T19,T19,(P20-L19)*N19),"")</f>
        <v/>
      </c>
      <c r="O20" s="1238" t="str">
        <f>IF(ISNUMBER(Q20),IF((Q20-M19)*O19&lt;U19,U19,(Q20-M19)*O19),"")</f>
        <v/>
      </c>
      <c r="P20" s="533" t="str">
        <f>IF(AND(K20&gt;0,L20&gt;0),L20/K20*K19,"")</f>
        <v/>
      </c>
      <c r="Q20" s="534" t="str">
        <f>IF(AND(K20&gt;0,M20&gt;0),M20/K20*K19,"")</f>
        <v/>
      </c>
      <c r="R20" s="570"/>
      <c r="S20" s="571"/>
      <c r="T20" s="572"/>
      <c r="U20" s="571"/>
    </row>
    <row r="21" spans="1:21" ht="3.95" customHeight="1">
      <c r="A21" s="573"/>
      <c r="B21" s="428" t="s">
        <v>79</v>
      </c>
      <c r="C21" s="339"/>
      <c r="D21" s="550"/>
      <c r="E21" s="2577"/>
      <c r="F21" s="574"/>
      <c r="G21" s="339"/>
      <c r="H21" s="339"/>
      <c r="I21" s="339"/>
      <c r="N21" s="597"/>
      <c r="O21" s="597"/>
    </row>
    <row r="22" spans="1:21" ht="15" customHeight="1">
      <c r="A22" s="929" t="s">
        <v>1096</v>
      </c>
      <c r="B22" s="935" t="str">
        <f>IF(ISBLANK(C22),"",VLOOKUP(C22,Daten!$B$336:$E$351,4,FALSE))</f>
        <v/>
      </c>
      <c r="C22" s="1709"/>
      <c r="D22" s="1653" t="str">
        <f>IF(ISBLANK(C22),"",VLOOKUP(B22,Daten!$E$289:$L$391,3,FALSE))</f>
        <v/>
      </c>
      <c r="E22" s="2575" t="str">
        <f>IF(ISBLANK(C22),"",VLOOKUP(B22,Daten!$E$289:$L$391,4,FALSE))</f>
        <v/>
      </c>
      <c r="F22" s="557" t="str">
        <f>IF(ISBLANK(C22),"",VLOOKUP(B22,Daten!$E$289:$L$391,5,FALSE))</f>
        <v/>
      </c>
      <c r="G22" s="558" t="str">
        <f>IF(ISBLANK(C22),"",VLOOKUP(B22,Daten!$E$289:$L$391,6,FALSE))</f>
        <v/>
      </c>
      <c r="H22" s="558" t="str">
        <f>IF(ISBLANK(C22),"",VLOOKUP(B22,Daten!$E$289:$L$391,7,FALSE))</f>
        <v/>
      </c>
      <c r="I22" s="559" t="str">
        <f>IF(ISBLANK(C22),"",VLOOKUP(B22,Daten!$E$289:$L$391,8,FALSE))</f>
        <v/>
      </c>
      <c r="K22" s="561" t="str">
        <f>IF(ISBLANK(C22),"",VLOOKUP(B22,Daten!$E$289:$X$391,14,FALSE))</f>
        <v/>
      </c>
      <c r="L22" s="562" t="str">
        <f>IF(ISBLANK(C22),"",VLOOKUP(B22,Daten!$E$289:$X$391,15,FALSE))</f>
        <v/>
      </c>
      <c r="M22" s="563" t="str">
        <f>IF(ISBLANK(C22),"",VLOOKUP(B22,Daten!$E$289:$X$391,16,FALSE))</f>
        <v/>
      </c>
      <c r="N22" s="632" t="str">
        <f>IF(ISBLANK(C22),"",VLOOKUP(B22,Daten!$E$289:$X$391,17,FALSE))</f>
        <v/>
      </c>
      <c r="O22" s="633" t="str">
        <f>IF(ISBLANK(C22),"",VLOOKUP(B22,Daten!$E$289:$X$391,18,FALSE))</f>
        <v/>
      </c>
      <c r="P22" s="653"/>
      <c r="Q22" s="654"/>
      <c r="R22" s="564" t="str">
        <f>IF(ISBLANK(C22),"",VLOOKUP(B22,Daten!$E$289:$X$391,19,FALSE))</f>
        <v/>
      </c>
      <c r="S22" s="565" t="str">
        <f>IF(ISBLANK(C22),"",VLOOKUP(B22,Daten!$E$289:$X$391,20,FALSE))</f>
        <v/>
      </c>
      <c r="T22" s="566" t="e">
        <f>(R22/F22)-1</f>
        <v>#VALUE!</v>
      </c>
      <c r="U22" s="567" t="e">
        <f>(S22/G22)-1</f>
        <v>#VALUE!</v>
      </c>
    </row>
    <row r="23" spans="1:21" ht="18" customHeight="1">
      <c r="A23" s="930" t="s">
        <v>1410</v>
      </c>
      <c r="B23" s="936" t="str">
        <f>IF(ISBLANK(C22),"","lk5")</f>
        <v/>
      </c>
      <c r="C23" s="1232" t="str">
        <f>IF(B23="","",IF(AND(ISNUMBER(K23*L23*M23),K23&lt;&gt;""),ROUND(K23,2)&amp;" MJ "&amp;ROUND(L23,2)&amp;" RP "&amp;ROUND(M23,2)&amp;" P: "&amp;VLOOKUP(B22,Daten!$E$289:$L$391,2,FALSE),IF(B22="zsp","mittlere Futtergehalte unten berechnen + rechts eingeben", "mittlere Futtergehalte weiter rechts eingeben!")))</f>
        <v/>
      </c>
      <c r="D23" s="1652" t="str">
        <f>D22</f>
        <v/>
      </c>
      <c r="E23" s="2576" t="str">
        <f>E22</f>
        <v/>
      </c>
      <c r="F23" s="1233" t="str">
        <f>IF((L23+M23)=0,"",IF(K23*L23&gt;0,F22*(1+N23),F22))</f>
        <v/>
      </c>
      <c r="G23" s="1234" t="str">
        <f>IF((L23+M23)=0,"",IF(K23*M23&gt;0,G22*(1+O23),G22))</f>
        <v/>
      </c>
      <c r="H23" s="568" t="str">
        <f>IF(ISNUMBER(F23),H22,"")</f>
        <v/>
      </c>
      <c r="I23" s="569" t="str">
        <f>IF(ISNUMBER(F23),I22,"")</f>
        <v/>
      </c>
      <c r="K23" s="1621"/>
      <c r="L23" s="1622"/>
      <c r="M23" s="1623"/>
      <c r="N23" s="1237" t="str">
        <f>IF(ISNUMBER(P23),IF((P23-L22)*N22&lt;T22,T22,(P23-L22)*N22),"")</f>
        <v/>
      </c>
      <c r="O23" s="1238" t="str">
        <f>IF(ISNUMBER(Q23),IF((Q23-M22)*O22&lt;U22,U22,(Q23-M22)*O22),"")</f>
        <v/>
      </c>
      <c r="P23" s="533" t="str">
        <f>IF(AND(K23&gt;0,L23&gt;0),L23/K23*K22,"")</f>
        <v/>
      </c>
      <c r="Q23" s="534" t="str">
        <f>IF(AND(K23&gt;0,M23&gt;0),M23/K23*K22,"")</f>
        <v/>
      </c>
      <c r="R23" s="570"/>
      <c r="S23" s="571"/>
      <c r="T23" s="572"/>
      <c r="U23" s="571"/>
    </row>
    <row r="24" spans="1:21" ht="3.95" customHeight="1">
      <c r="A24" s="573"/>
      <c r="B24" s="428" t="s">
        <v>79</v>
      </c>
      <c r="C24" s="339"/>
      <c r="D24" s="550"/>
      <c r="E24" s="2577"/>
      <c r="F24" s="574"/>
      <c r="G24" s="339"/>
      <c r="H24" s="339"/>
      <c r="I24" s="339"/>
      <c r="N24" s="597"/>
      <c r="O24" s="597"/>
    </row>
    <row r="25" spans="1:21" ht="15" customHeight="1">
      <c r="A25" s="929" t="s">
        <v>1096</v>
      </c>
      <c r="B25" s="935" t="str">
        <f>IF(ISBLANK(C25),"",VLOOKUP(C25,Daten!$B$336:$E$351,4,FALSE))</f>
        <v/>
      </c>
      <c r="C25" s="1709"/>
      <c r="D25" s="1653" t="str">
        <f>IF(ISBLANK(C25),"",VLOOKUP(B25,Daten!$E$289:$L$391,3,FALSE))</f>
        <v/>
      </c>
      <c r="E25" s="2575" t="str">
        <f>IF(ISBLANK(C25),"",VLOOKUP(B25,Daten!$E$289:$L$391,4,FALSE))</f>
        <v/>
      </c>
      <c r="F25" s="557" t="str">
        <f>IF(ISBLANK(C25),"",VLOOKUP(B25,Daten!$E$289:$L$391,5,FALSE))</f>
        <v/>
      </c>
      <c r="G25" s="558" t="str">
        <f>IF(ISBLANK(C25),"",VLOOKUP(B25,Daten!$E$289:$L$391,6,FALSE))</f>
        <v/>
      </c>
      <c r="H25" s="558" t="str">
        <f>IF(ISBLANK(C25),"",VLOOKUP(B25,Daten!$E$289:$L$391,7,FALSE))</f>
        <v/>
      </c>
      <c r="I25" s="559" t="str">
        <f>IF(ISBLANK(C25),"",VLOOKUP(B25,Daten!$E$289:$L$391,8,FALSE))</f>
        <v/>
      </c>
      <c r="K25" s="561" t="str">
        <f>IF(ISBLANK(C25),"",VLOOKUP(B25,Daten!$E$289:$X$391,14,FALSE))</f>
        <v/>
      </c>
      <c r="L25" s="562" t="str">
        <f>IF(ISBLANK(C25),"",VLOOKUP(B25,Daten!$E$289:$X$391,15,FALSE))</f>
        <v/>
      </c>
      <c r="M25" s="563" t="str">
        <f>IF(ISBLANK(C25),"",VLOOKUP(B25,Daten!$E$289:$X$391,16,FALSE))</f>
        <v/>
      </c>
      <c r="N25" s="632" t="str">
        <f>IF(ISBLANK(C25),"",VLOOKUP(B25,Daten!$E$289:$X$391,17,FALSE))</f>
        <v/>
      </c>
      <c r="O25" s="633" t="str">
        <f>IF(ISBLANK(C25),"",VLOOKUP(B25,Daten!$E$289:$X$391,18,FALSE))</f>
        <v/>
      </c>
      <c r="P25" s="653"/>
      <c r="Q25" s="654"/>
      <c r="R25" s="564" t="str">
        <f>IF(ISBLANK(C25),"",VLOOKUP(B25,Daten!$E$289:$X$391,19,FALSE))</f>
        <v/>
      </c>
      <c r="S25" s="565" t="str">
        <f>IF(ISBLANK(C25),"",VLOOKUP(B25,Daten!$E$289:$X$391,20,FALSE))</f>
        <v/>
      </c>
      <c r="T25" s="566" t="e">
        <f>(R25/F25)-1</f>
        <v>#VALUE!</v>
      </c>
      <c r="U25" s="567" t="e">
        <f>(S25/G25)-1</f>
        <v>#VALUE!</v>
      </c>
    </row>
    <row r="26" spans="1:21" ht="18" customHeight="1">
      <c r="A26" s="930" t="s">
        <v>1411</v>
      </c>
      <c r="B26" s="936" t="str">
        <f>IF(ISBLANK(C25),"","lk6")</f>
        <v/>
      </c>
      <c r="C26" s="1232" t="str">
        <f>IF(B26="","",IF(AND(ISNUMBER(K26*L26*M26),K26&lt;&gt;""),ROUND(K26,2)&amp;" MJ "&amp;ROUND(L26,2)&amp;" RP "&amp;ROUND(M26,2)&amp;" P: "&amp;VLOOKUP(B25,Daten!$E$289:$L$391,2,FALSE),IF(B25="zsp","mittlere Futtergehalte unten berechnen + rechts eingeben", "mittlere Futtergehalte weiter rechts eingeben!")))</f>
        <v/>
      </c>
      <c r="D26" s="1652" t="str">
        <f>D25</f>
        <v/>
      </c>
      <c r="E26" s="2576" t="str">
        <f>E25</f>
        <v/>
      </c>
      <c r="F26" s="1233" t="str">
        <f>IF((L26+M26)=0,"",IF(K26*L26&gt;0,F25*(1+N26),F25))</f>
        <v/>
      </c>
      <c r="G26" s="1234" t="str">
        <f>IF((L26+M26)=0,"",IF(K26*M26&gt;0,G25*(1+O26),G25))</f>
        <v/>
      </c>
      <c r="H26" s="568" t="str">
        <f>IF(ISNUMBER(F26),H25,"")</f>
        <v/>
      </c>
      <c r="I26" s="569" t="str">
        <f>IF(ISNUMBER(F26),I25,"")</f>
        <v/>
      </c>
      <c r="K26" s="1621"/>
      <c r="L26" s="1622"/>
      <c r="M26" s="1623"/>
      <c r="N26" s="1237" t="str">
        <f>IF(ISNUMBER(P26),IF((P26-L25)*N25&lt;T25,T25,(P26-L25)*N25),"")</f>
        <v/>
      </c>
      <c r="O26" s="1238" t="str">
        <f>IF(ISNUMBER(Q26),IF((Q26-M25)*O25&lt;U25,U25,(Q26-M25)*O25),"")</f>
        <v/>
      </c>
      <c r="P26" s="533" t="str">
        <f>IF(AND(K26&gt;0,L26&gt;0),L26/K26*K25,"")</f>
        <v/>
      </c>
      <c r="Q26" s="534" t="str">
        <f>IF(AND(K26&gt;0,M26&gt;0),M26/K26*K25,"")</f>
        <v/>
      </c>
      <c r="R26" s="570"/>
      <c r="S26" s="571"/>
      <c r="T26" s="572"/>
      <c r="U26" s="571"/>
    </row>
    <row r="27" spans="1:21" ht="3.95" customHeight="1">
      <c r="B27" s="428" t="s">
        <v>79</v>
      </c>
      <c r="C27" s="339"/>
      <c r="D27" s="550"/>
      <c r="E27" s="2577"/>
      <c r="F27" s="574"/>
      <c r="G27" s="339"/>
      <c r="H27" s="339"/>
      <c r="I27" s="339"/>
      <c r="N27" s="597"/>
      <c r="O27" s="597"/>
    </row>
    <row r="28" spans="1:21" ht="15" customHeight="1">
      <c r="A28" s="929" t="s">
        <v>1096</v>
      </c>
      <c r="B28" s="935" t="str">
        <f>IF(ISBLANK(C28),"",VLOOKUP(C28,Daten!$B$336:$E$351,4,FALSE))</f>
        <v/>
      </c>
      <c r="C28" s="1709"/>
      <c r="D28" s="1653" t="str">
        <f>IF(ISBLANK(C28),"",VLOOKUP(B28,Daten!$E$289:$L$391,3,FALSE))</f>
        <v/>
      </c>
      <c r="E28" s="2575" t="str">
        <f>IF(ISBLANK(C28),"",VLOOKUP(B28,Daten!$E$289:$L$391,4,FALSE))</f>
        <v/>
      </c>
      <c r="F28" s="557" t="str">
        <f>IF(ISBLANK(C28),"",VLOOKUP(B28,Daten!$E$289:$L$391,5,FALSE))</f>
        <v/>
      </c>
      <c r="G28" s="558" t="str">
        <f>IF(ISBLANK(C28),"",VLOOKUP(B28,Daten!$E$289:$L$391,6,FALSE))</f>
        <v/>
      </c>
      <c r="H28" s="558" t="str">
        <f>IF(ISBLANK(C28),"",VLOOKUP(B28,Daten!$E$289:$L$391,7,FALSE))</f>
        <v/>
      </c>
      <c r="I28" s="559" t="str">
        <f>IF(ISBLANK(C28),"",VLOOKUP(B28,Daten!$E$289:$L$391,8,FALSE))</f>
        <v/>
      </c>
      <c r="K28" s="561" t="str">
        <f>IF(ISBLANK(C28),"",VLOOKUP(B28,Daten!$E$289:$X$391,14,FALSE))</f>
        <v/>
      </c>
      <c r="L28" s="562" t="str">
        <f>IF(ISBLANK(C28),"",VLOOKUP(B28,Daten!$E$289:$X$391,15,FALSE))</f>
        <v/>
      </c>
      <c r="M28" s="563" t="str">
        <f>IF(ISBLANK(C28),"",VLOOKUP(B28,Daten!$E$289:$X$391,16,FALSE))</f>
        <v/>
      </c>
      <c r="N28" s="632" t="str">
        <f>IF(ISBLANK(C28),"",VLOOKUP(B28,Daten!$E$289:$X$391,17,FALSE))</f>
        <v/>
      </c>
      <c r="O28" s="633" t="str">
        <f>IF(ISBLANK(C28),"",VLOOKUP(B28,Daten!$E$289:$X$391,18,FALSE))</f>
        <v/>
      </c>
      <c r="P28" s="653"/>
      <c r="Q28" s="654"/>
      <c r="R28" s="564" t="str">
        <f>IF(ISBLANK(C28),"",VLOOKUP(B28,Daten!$E$289:$X$391,19,FALSE))</f>
        <v/>
      </c>
      <c r="S28" s="565" t="str">
        <f>IF(ISBLANK(C28),"",VLOOKUP(B28,Daten!$E$289:$X$391,20,FALSE))</f>
        <v/>
      </c>
      <c r="T28" s="566" t="e">
        <f>(R28/F28)-1</f>
        <v>#VALUE!</v>
      </c>
      <c r="U28" s="567" t="e">
        <f>(S28/G28)-1</f>
        <v>#VALUE!</v>
      </c>
    </row>
    <row r="29" spans="1:21" ht="18" customHeight="1">
      <c r="A29" s="930" t="s">
        <v>1412</v>
      </c>
      <c r="B29" s="936" t="str">
        <f>IF(ISBLANK(C28),"","lk7")</f>
        <v/>
      </c>
      <c r="C29" s="1232" t="str">
        <f>IF(B29="","",IF(AND(ISNUMBER(K29*L29*M29),K29&lt;&gt;""),ROUND(K29,2)&amp;" MJ "&amp;ROUND(L29,2)&amp;" RP "&amp;ROUND(M29,2)&amp;" P: "&amp;VLOOKUP(B28,Daten!$E$289:$L$391,2,FALSE),IF(B28="zsp","mittlere Futtergehalte unten berechnen + rechts eingeben", "mittlere Futtergehalte weiter rechts eingeben!")))</f>
        <v/>
      </c>
      <c r="D29" s="1652" t="str">
        <f>D28</f>
        <v/>
      </c>
      <c r="E29" s="2576" t="str">
        <f>E28</f>
        <v/>
      </c>
      <c r="F29" s="1233" t="str">
        <f>IF((L29+M29)=0,"",IF(K29*L29&gt;0,F28*(1+N29),F28))</f>
        <v/>
      </c>
      <c r="G29" s="1234" t="str">
        <f>IF((L29+M29)=0,"",IF(K29*M29&gt;0,G28*(1+O29),G28))</f>
        <v/>
      </c>
      <c r="H29" s="568" t="str">
        <f>IF(ISNUMBER(F29),H28,"")</f>
        <v/>
      </c>
      <c r="I29" s="569" t="str">
        <f>IF(ISNUMBER(F29),I28,"")</f>
        <v/>
      </c>
      <c r="K29" s="1624"/>
      <c r="L29" s="1625"/>
      <c r="M29" s="1626"/>
      <c r="N29" s="1237" t="str">
        <f>IF(ISNUMBER(P29),IF((P29-L28)*N28&lt;T28,T28,(P29-L28)*N28),"")</f>
        <v/>
      </c>
      <c r="O29" s="1238" t="str">
        <f>IF(ISNUMBER(Q29),IF((Q29-M28)*O28&lt;U28,U28,(Q29-M28)*O28),"")</f>
        <v/>
      </c>
      <c r="P29" s="533" t="str">
        <f>IF(AND(K29&gt;0,L29&gt;0),L29/K29*K28,"")</f>
        <v/>
      </c>
      <c r="Q29" s="534" t="str">
        <f>IF(AND(K29&gt;0,M29&gt;0),M29/K29*K28,"")</f>
        <v/>
      </c>
      <c r="R29" s="570"/>
      <c r="S29" s="571"/>
      <c r="T29" s="572"/>
      <c r="U29" s="571"/>
    </row>
    <row r="30" spans="1:21" ht="3.95" customHeight="1">
      <c r="A30" s="575"/>
      <c r="B30" s="428"/>
      <c r="C30" s="339"/>
      <c r="D30" s="550"/>
      <c r="E30" s="2577"/>
      <c r="F30" s="574"/>
      <c r="G30" s="339"/>
      <c r="H30" s="339"/>
      <c r="I30" s="339"/>
      <c r="N30" s="597"/>
      <c r="O30" s="597"/>
      <c r="T30" s="576"/>
      <c r="U30" s="576"/>
    </row>
    <row r="31" spans="1:21" ht="15" customHeight="1">
      <c r="A31" s="929" t="s">
        <v>1096</v>
      </c>
      <c r="B31" s="935" t="str">
        <f>IF(ISBLANK(C31),"",VLOOKUP(C31,Daten!$B$336:$E$351,4,FALSE))</f>
        <v>zsp</v>
      </c>
      <c r="C31" s="1709" t="s">
        <v>1647</v>
      </c>
      <c r="D31" s="1653" t="str">
        <f>IF(ISBLANK(C31),"",VLOOKUP(B31,Daten!$E$289:$L$391,3,FALSE))</f>
        <v>Platz</v>
      </c>
      <c r="E31" s="2575">
        <f>IF(ISBLANK(C31),"",VLOOKUP(B31,Daten!$E$289:$L$391,4,FALSE))</f>
        <v>0</v>
      </c>
      <c r="F31" s="557">
        <f>IF(ISBLANK(C31),"",VLOOKUP(B31,Daten!$E$289:$L$391,5,FALSE))</f>
        <v>35.200000000000003</v>
      </c>
      <c r="G31" s="558">
        <f>IF(ISBLANK(C31),"",VLOOKUP(B31,Daten!$E$289:$L$391,6,FALSE))</f>
        <v>21</v>
      </c>
      <c r="H31" s="558">
        <f>IF(ISBLANK(C31),"",VLOOKUP(B31,Daten!$E$289:$L$391,7,FALSE))</f>
        <v>23</v>
      </c>
      <c r="I31" s="559">
        <f>IF(ISBLANK(C31),"",VLOOKUP(B31,Daten!$E$289:$L$391,8,FALSE))</f>
        <v>4.2</v>
      </c>
      <c r="K31" s="561">
        <f>IF(ISBLANK(C31),"",VLOOKUP(B31,Daten!$E$289:$X$391,14,FALSE))</f>
        <v>13.2</v>
      </c>
      <c r="L31" s="562">
        <f>IF(ISBLANK(C31),"",VLOOKUP(B31,Daten!$E$289:$X$391,15,FALSE))</f>
        <v>173</v>
      </c>
      <c r="M31" s="563">
        <f>IF(ISBLANK(C31),"",VLOOKUP(B31,Daten!$E$289:$X$391,16,FALSE))</f>
        <v>5.8</v>
      </c>
      <c r="N31" s="632">
        <f>IF(ISBLANK(C31),"",VLOOKUP(B31,Daten!$E$289:$X$391,17,FALSE))</f>
        <v>6.4000000000000003E-3</v>
      </c>
      <c r="O31" s="633">
        <f>IF(ISBLANK(C31),"",VLOOKUP(B31,Daten!$E$289:$X$391,18,FALSE))</f>
        <v>0.192</v>
      </c>
      <c r="P31" s="653"/>
      <c r="Q31" s="654"/>
      <c r="R31" s="564">
        <f>IF(ISBLANK(C31),"",VLOOKUP(B31,Daten!$E$289:$X$391,19,FALSE))</f>
        <v>27.92</v>
      </c>
      <c r="S31" s="565">
        <f>IF(ISBLANK(C31),"",VLOOKUP(B31,Daten!$E$289:$X$391,20,FALSE))</f>
        <v>15.2</v>
      </c>
      <c r="T31" s="566">
        <f>(R31/F31)-1</f>
        <v>-0.20681818181818179</v>
      </c>
      <c r="U31" s="567">
        <f>(S31/G31)-1</f>
        <v>-0.27619047619047621</v>
      </c>
    </row>
    <row r="32" spans="1:21" ht="18" customHeight="1">
      <c r="A32" s="930" t="s">
        <v>1413</v>
      </c>
      <c r="B32" s="936" t="str">
        <f>IF(ISBLANK(C31),"","lk8")</f>
        <v>lk8</v>
      </c>
      <c r="C32" s="1232" t="str">
        <f>IF(B32="","",IF(AND(ISNUMBER(K32*L32*M32),K32&lt;&gt;""),ROUND(K32,2)&amp;" MJ "&amp;ROUND(L32,2)&amp;" RP "&amp;ROUND(M32,2)&amp;" P: "&amp;VLOOKUP(B31,Daten!$E$289:$L$391,2,FALSE), IF(B31="zsp","mittlere Futtergehalte unten berechnen + rechts eingeben", "mittlere Futtergehalte weiter rechts eingeben!")))</f>
        <v>mittlere Futtergehalte unten berechnen + rechts eingeben</v>
      </c>
      <c r="D32" s="1652" t="str">
        <f>D31</f>
        <v>Platz</v>
      </c>
      <c r="E32" s="2576">
        <f>E31</f>
        <v>0</v>
      </c>
      <c r="F32" s="1233" t="e">
        <f>IF((L32+M32)=0,"",IF(K32*L32&gt;0,F31*(1+N32),F31))</f>
        <v>#VALUE!</v>
      </c>
      <c r="G32" s="1234" t="e">
        <f>IF((L32+M32)=0,"",IF(K32*M32&gt;0,G31*(1+O32),G31))</f>
        <v>#VALUE!</v>
      </c>
      <c r="H32" s="568" t="str">
        <f>IF(ISNUMBER(F32),H31,"")</f>
        <v/>
      </c>
      <c r="I32" s="569" t="str">
        <f>IF(ISNUMBER(F32),I31,"")</f>
        <v/>
      </c>
      <c r="K32" s="1627" t="str">
        <f>K39</f>
        <v/>
      </c>
      <c r="L32" s="1628" t="str">
        <f>L39</f>
        <v/>
      </c>
      <c r="M32" s="1629" t="str">
        <f>M39</f>
        <v/>
      </c>
      <c r="N32" s="1240" t="str">
        <f>IF(ISNUMBER(P32),IF((P32-L31)*N31&lt;T31,T31,(P32-L31)*N31),"")</f>
        <v/>
      </c>
      <c r="O32" s="1238" t="str">
        <f>IF(ISNUMBER(Q32),IF((Q32-M31)*O31&lt;U31,U31,(Q32-M31)*O31),"")</f>
        <v/>
      </c>
      <c r="P32" s="533" t="e">
        <f>IF(AND(K32&gt;0,L32&gt;0),L32/K32*K31,"")</f>
        <v>#VALUE!</v>
      </c>
      <c r="Q32" s="534" t="e">
        <f>IF(AND(K32&gt;0,M32&gt;0),M32/K32*K31,"")</f>
        <v>#VALUE!</v>
      </c>
      <c r="R32" s="570"/>
      <c r="S32" s="571"/>
      <c r="T32" s="572"/>
      <c r="U32" s="571"/>
    </row>
    <row r="33" spans="1:21" ht="8.1" customHeight="1">
      <c r="A33" s="575"/>
      <c r="B33" s="428"/>
      <c r="C33" s="339"/>
      <c r="D33" s="550"/>
      <c r="E33" s="339"/>
      <c r="F33" s="574"/>
      <c r="G33" s="339"/>
      <c r="H33" s="339"/>
      <c r="I33" s="339"/>
      <c r="T33" s="576"/>
      <c r="U33" s="576"/>
    </row>
    <row r="34" spans="1:21" ht="14.1" customHeight="1">
      <c r="A34" s="575"/>
      <c r="C34" s="1636"/>
      <c r="D34" s="1637"/>
      <c r="E34" s="1102" t="s">
        <v>1451</v>
      </c>
      <c r="F34" s="965"/>
      <c r="G34" s="3647" t="s">
        <v>841</v>
      </c>
      <c r="H34" s="3648"/>
      <c r="I34" s="1226"/>
      <c r="J34" s="1227"/>
      <c r="K34" s="3631" t="s">
        <v>1448</v>
      </c>
      <c r="L34" s="3632"/>
      <c r="M34" s="3633"/>
      <c r="T34" s="576"/>
      <c r="U34" s="576"/>
    </row>
    <row r="35" spans="1:21" ht="12.75">
      <c r="A35" s="1094"/>
      <c r="B35" s="428"/>
      <c r="C35" s="1638" t="s">
        <v>843</v>
      </c>
      <c r="D35" s="1639"/>
      <c r="E35" s="1101"/>
      <c r="F35" s="667"/>
      <c r="G35" s="3649" t="s">
        <v>704</v>
      </c>
      <c r="H35" s="3650"/>
      <c r="I35" s="3641" t="s">
        <v>703</v>
      </c>
      <c r="J35" s="3642"/>
      <c r="K35" s="1099" t="s">
        <v>1090</v>
      </c>
      <c r="L35" s="1103" t="s">
        <v>1091</v>
      </c>
      <c r="M35" s="1100" t="s">
        <v>659</v>
      </c>
      <c r="N35" s="1093"/>
      <c r="O35" s="1093"/>
      <c r="P35" s="556"/>
      <c r="Q35" s="556"/>
      <c r="R35" s="339"/>
      <c r="S35" s="339"/>
      <c r="T35" s="339"/>
      <c r="U35" s="339"/>
    </row>
    <row r="36" spans="1:21" ht="15" customHeight="1">
      <c r="A36" s="1094"/>
      <c r="B36" s="428"/>
      <c r="C36" s="1638" t="s">
        <v>842</v>
      </c>
      <c r="D36" s="1639"/>
      <c r="E36" s="1097" t="s">
        <v>1449</v>
      </c>
      <c r="F36" s="1224"/>
      <c r="G36" s="3651"/>
      <c r="H36" s="3652"/>
      <c r="I36" s="3643" t="e">
        <f>G36/G38</f>
        <v>#DIV/0!</v>
      </c>
      <c r="J36" s="3644"/>
      <c r="K36" s="1630"/>
      <c r="L36" s="1631"/>
      <c r="M36" s="1632"/>
      <c r="N36" s="1093"/>
      <c r="O36" s="1093"/>
      <c r="P36" s="556"/>
      <c r="Q36" s="556"/>
      <c r="R36" s="339"/>
      <c r="S36" s="339"/>
      <c r="T36" s="339"/>
      <c r="U36" s="339"/>
    </row>
    <row r="37" spans="1:21" ht="15" customHeight="1">
      <c r="A37" s="575"/>
      <c r="B37" s="549" t="s">
        <v>79</v>
      </c>
      <c r="C37" s="1659" t="s">
        <v>1660</v>
      </c>
      <c r="D37" s="541"/>
      <c r="E37" s="1222" t="s">
        <v>1450</v>
      </c>
      <c r="G37" s="3653"/>
      <c r="H37" s="3654"/>
      <c r="I37" s="3660" t="e">
        <f>G37/G38</f>
        <v>#DIV/0!</v>
      </c>
      <c r="J37" s="3661"/>
      <c r="K37" s="1633"/>
      <c r="L37" s="1634"/>
      <c r="M37" s="1635"/>
    </row>
    <row r="38" spans="1:21" ht="15" customHeight="1">
      <c r="A38" s="575"/>
      <c r="B38" s="549"/>
      <c r="C38" s="1640"/>
      <c r="E38" s="1223" t="s">
        <v>705</v>
      </c>
      <c r="F38" s="1225"/>
      <c r="G38" s="3639">
        <f>SUM(G36:H37)</f>
        <v>0</v>
      </c>
      <c r="H38" s="3640"/>
      <c r="I38" s="3662"/>
      <c r="J38" s="3663"/>
      <c r="K38" s="1228" t="str">
        <f>IF(AND(K36&gt;0,K37&gt;0),($G36*K36+$G37*K37)/$G38,"")</f>
        <v/>
      </c>
      <c r="L38" s="1229" t="str">
        <f>IF(AND(L36&gt;0,L37&gt;0),($G36*L36+$G37*L37)/$G38,"")</f>
        <v/>
      </c>
      <c r="M38" s="1230" t="str">
        <f>IF(AND(M36&gt;0,M37&gt;0),($G36*M36+$G37*M37)/$G38,"")</f>
        <v/>
      </c>
    </row>
    <row r="39" spans="1:21" ht="15" customHeight="1">
      <c r="A39" s="355"/>
      <c r="C39" s="1641"/>
      <c r="D39" s="1642" t="s">
        <v>706</v>
      </c>
      <c r="E39" s="1642"/>
      <c r="F39" s="1642"/>
      <c r="G39" s="1643"/>
      <c r="H39" s="1642"/>
      <c r="I39" s="1644" t="s">
        <v>1661</v>
      </c>
      <c r="J39" s="1645"/>
      <c r="K39" s="1646" t="str">
        <f>IF(AND(ISNUMBER(K36),ISNUMBER(K37)),0.61*K36+0.39*K37,"")</f>
        <v/>
      </c>
      <c r="L39" s="1647" t="str">
        <f>IF(AND(ISNUMBER(L36),ISNUMBER(L37)),0.61*L36+0.39*L37,"")</f>
        <v/>
      </c>
      <c r="M39" s="1648" t="str">
        <f>IF(AND(ISNUMBER(M36),ISNUMBER(M37)),0.61*M36+0.39*M37,"")</f>
        <v/>
      </c>
      <c r="N39" s="1231" t="s">
        <v>702</v>
      </c>
    </row>
    <row r="40" spans="1:21" ht="30" customHeight="1">
      <c r="A40" s="355"/>
      <c r="C40" s="355"/>
      <c r="F40" s="340"/>
      <c r="G40" s="339"/>
      <c r="H40" s="1096"/>
      <c r="I40" s="1096"/>
      <c r="J40" s="1096"/>
      <c r="Q40" s="1753"/>
    </row>
    <row r="41" spans="1:21" ht="13.5">
      <c r="A41" s="355" t="s">
        <v>1447</v>
      </c>
      <c r="C41" s="355"/>
      <c r="Q41" s="1753"/>
    </row>
    <row r="42" spans="1:21" ht="20.25" customHeight="1" thickBot="1">
      <c r="A42" s="1098" t="s">
        <v>1162</v>
      </c>
      <c r="C42" s="355"/>
      <c r="N42" s="596"/>
      <c r="Q42" s="1753" t="s">
        <v>513</v>
      </c>
    </row>
    <row r="43" spans="1:21" ht="13.5" thickBot="1">
      <c r="B43" s="695" t="s">
        <v>1419</v>
      </c>
      <c r="C43" s="535" t="s">
        <v>1431</v>
      </c>
      <c r="D43" s="536" t="s">
        <v>52</v>
      </c>
      <c r="I43" s="3659"/>
      <c r="J43" s="3659"/>
      <c r="K43" s="3659"/>
      <c r="L43" s="3659"/>
      <c r="M43" s="3659"/>
    </row>
    <row r="44" spans="1:21" ht="2.1" customHeight="1">
      <c r="B44" s="695"/>
      <c r="C44" s="598"/>
      <c r="D44" s="599"/>
      <c r="I44" s="664"/>
      <c r="K44" s="1095"/>
      <c r="L44" s="1095"/>
      <c r="M44" s="1095"/>
    </row>
    <row r="45" spans="1:21" ht="12.75">
      <c r="B45" s="923" t="s">
        <v>1356</v>
      </c>
      <c r="C45" s="537" t="s">
        <v>1645</v>
      </c>
      <c r="D45" s="1654" t="s">
        <v>1331</v>
      </c>
      <c r="I45" s="664"/>
      <c r="K45" s="640"/>
      <c r="L45" s="640"/>
      <c r="M45" s="640"/>
    </row>
    <row r="46" spans="1:21" ht="12.75">
      <c r="B46" s="924" t="s">
        <v>1358</v>
      </c>
      <c r="C46" s="538" t="s">
        <v>1646</v>
      </c>
      <c r="D46" s="1655" t="s">
        <v>672</v>
      </c>
      <c r="I46" s="664"/>
      <c r="K46" s="640"/>
      <c r="L46" s="640"/>
      <c r="M46" s="640"/>
    </row>
    <row r="47" spans="1:21" ht="13.5">
      <c r="A47" s="1104">
        <f>COUNTIF(C10:C32,C47)</f>
        <v>1</v>
      </c>
      <c r="B47" s="924" t="s">
        <v>1359</v>
      </c>
      <c r="C47" s="538" t="s">
        <v>1647</v>
      </c>
      <c r="D47" s="1655" t="s">
        <v>1331</v>
      </c>
      <c r="E47" s="1511" t="s">
        <v>1663</v>
      </c>
      <c r="I47" s="664"/>
      <c r="K47" s="1095"/>
      <c r="L47" s="1095"/>
      <c r="M47" s="1095"/>
    </row>
    <row r="48" spans="1:21" ht="13.5">
      <c r="B48" s="925" t="s">
        <v>1368</v>
      </c>
      <c r="C48" s="539" t="s">
        <v>1828</v>
      </c>
      <c r="D48" s="1656" t="s">
        <v>1331</v>
      </c>
      <c r="E48" s="1511" t="s">
        <v>1662</v>
      </c>
    </row>
    <row r="49" spans="1:4" ht="12.75">
      <c r="B49" s="924" t="s">
        <v>1364</v>
      </c>
      <c r="C49" s="538" t="s">
        <v>1831</v>
      </c>
      <c r="D49" s="1655" t="s">
        <v>1331</v>
      </c>
    </row>
    <row r="50" spans="1:4" ht="12.75">
      <c r="B50" s="924" t="s">
        <v>1274</v>
      </c>
      <c r="C50" s="538" t="s">
        <v>1648</v>
      </c>
      <c r="D50" s="1655" t="s">
        <v>672</v>
      </c>
    </row>
    <row r="51" spans="1:4" ht="12.75">
      <c r="B51" s="924" t="s">
        <v>1273</v>
      </c>
      <c r="C51" s="538" t="s">
        <v>1830</v>
      </c>
      <c r="D51" s="1655" t="s">
        <v>1331</v>
      </c>
    </row>
    <row r="52" spans="1:4" ht="12.75">
      <c r="B52" s="924" t="s">
        <v>1365</v>
      </c>
      <c r="C52" s="538" t="s">
        <v>1649</v>
      </c>
      <c r="D52" s="1655" t="s">
        <v>672</v>
      </c>
    </row>
    <row r="53" spans="1:4" ht="12.75">
      <c r="B53" s="924" t="s">
        <v>1366</v>
      </c>
      <c r="C53" s="538" t="s">
        <v>1650</v>
      </c>
      <c r="D53" s="1655" t="s">
        <v>1331</v>
      </c>
    </row>
    <row r="54" spans="1:4" ht="12.75">
      <c r="B54" s="924" t="s">
        <v>1367</v>
      </c>
      <c r="C54" s="538" t="s">
        <v>1651</v>
      </c>
      <c r="D54" s="1655" t="s">
        <v>672</v>
      </c>
    </row>
    <row r="55" spans="1:4" ht="5.0999999999999996" customHeight="1" thickBot="1">
      <c r="B55" s="926"/>
      <c r="C55" s="339"/>
      <c r="D55" s="599"/>
    </row>
    <row r="56" spans="1:4" ht="13.5" thickBot="1">
      <c r="B56" s="695" t="s">
        <v>54</v>
      </c>
      <c r="C56" s="535" t="s">
        <v>1432</v>
      </c>
      <c r="D56" s="536" t="s">
        <v>52</v>
      </c>
    </row>
    <row r="57" spans="1:4" ht="12" customHeight="1">
      <c r="B57" s="927" t="s">
        <v>1369</v>
      </c>
      <c r="C57" s="675" t="s">
        <v>1546</v>
      </c>
      <c r="D57" s="1657" t="s">
        <v>1370</v>
      </c>
    </row>
    <row r="58" spans="1:4" ht="12" customHeight="1">
      <c r="B58" s="928" t="s">
        <v>830</v>
      </c>
      <c r="C58" s="669" t="s">
        <v>1418</v>
      </c>
      <c r="D58" s="1658" t="s">
        <v>1370</v>
      </c>
    </row>
    <row r="59" spans="1:4" ht="12" customHeight="1">
      <c r="A59" s="577"/>
    </row>
    <row r="60" spans="1:4" ht="12" customHeight="1">
      <c r="B60" s="597" t="s">
        <v>696</v>
      </c>
    </row>
  </sheetData>
  <sheetProtection algorithmName="SHA-512" hashValue="YwuIC+E2rF+pjxXtpPqk8SMc+F/1JwzS3rbSgTHAELAiYOmVFlpYCMqhPRvMOyA6Xw8LGzZzz9gB8vzMrU03Cw==" saltValue="1FH6N9Y8K8Zj7kUZArDwRA==" spinCount="100000" sheet="1" objects="1" scenarios="1"/>
  <mergeCells count="22">
    <mergeCell ref="T7:U7"/>
    <mergeCell ref="N6:O6"/>
    <mergeCell ref="N7:O7"/>
    <mergeCell ref="K43:M43"/>
    <mergeCell ref="I43:J43"/>
    <mergeCell ref="K34:M34"/>
    <mergeCell ref="I37:J37"/>
    <mergeCell ref="I38:J38"/>
    <mergeCell ref="G38:H38"/>
    <mergeCell ref="I35:J35"/>
    <mergeCell ref="I36:J36"/>
    <mergeCell ref="R7:S7"/>
    <mergeCell ref="G34:H34"/>
    <mergeCell ref="G35:H35"/>
    <mergeCell ref="G36:H36"/>
    <mergeCell ref="G37:H37"/>
    <mergeCell ref="P2:Q2"/>
    <mergeCell ref="F6:I6"/>
    <mergeCell ref="R5:U5"/>
    <mergeCell ref="K6:M6"/>
    <mergeCell ref="N5:O5"/>
    <mergeCell ref="P6:Q6"/>
  </mergeCells>
  <phoneticPr fontId="56" type="noConversion"/>
  <conditionalFormatting sqref="C14 C17 C20 C23 C26 C29 C32">
    <cfRule type="expression" dxfId="30" priority="3" stopIfTrue="1">
      <formula xml:space="preserve"> ISBLANK($C13)</formula>
    </cfRule>
    <cfRule type="expression" dxfId="29" priority="4" stopIfTrue="1">
      <formula>LEFT(C14,5) =  "mittl"</formula>
    </cfRule>
  </conditionalFormatting>
  <conditionalFormatting sqref="A11 A14 A17 A20 A23 A26 A29 A32">
    <cfRule type="expression" dxfId="28" priority="5" stopIfTrue="1">
      <formula xml:space="preserve"> B11=""</formula>
    </cfRule>
  </conditionalFormatting>
  <conditionalFormatting sqref="N35:Q36 B31:B32 B35:B36 D31:Q32">
    <cfRule type="expression" dxfId="27" priority="6" stopIfTrue="1">
      <formula>ISBLANK($C$31)</formula>
    </cfRule>
  </conditionalFormatting>
  <conditionalFormatting sqref="C10 J10:J11">
    <cfRule type="expression" dxfId="26" priority="7" stopIfTrue="1">
      <formula xml:space="preserve"> ISBLANK($B$10)</formula>
    </cfRule>
  </conditionalFormatting>
  <conditionalFormatting sqref="D13:O14 B14">
    <cfRule type="expression" dxfId="25" priority="8" stopIfTrue="1">
      <formula xml:space="preserve"> ISBLANK($C$13)</formula>
    </cfRule>
  </conditionalFormatting>
  <conditionalFormatting sqref="P13:Q14">
    <cfRule type="expression" dxfId="24" priority="9" stopIfTrue="1">
      <formula xml:space="preserve"> ISBLANK($C$13)</formula>
    </cfRule>
  </conditionalFormatting>
  <conditionalFormatting sqref="B13">
    <cfRule type="expression" dxfId="23" priority="10" stopIfTrue="1">
      <formula>ISBLANK($C$13)</formula>
    </cfRule>
  </conditionalFormatting>
  <conditionalFormatting sqref="B11 D10:I11 K10:O11">
    <cfRule type="expression" dxfId="22" priority="11" stopIfTrue="1">
      <formula xml:space="preserve"> ISBLANK($C$10)</formula>
    </cfRule>
  </conditionalFormatting>
  <conditionalFormatting sqref="C11">
    <cfRule type="expression" dxfId="21" priority="12" stopIfTrue="1">
      <formula xml:space="preserve"> ISBLANK($C$10)</formula>
    </cfRule>
    <cfRule type="expression" dxfId="20" priority="13" stopIfTrue="1">
      <formula>LEFT(C11,5) =  "mittl"</formula>
    </cfRule>
  </conditionalFormatting>
  <conditionalFormatting sqref="P10:Q11">
    <cfRule type="expression" dxfId="19" priority="14" stopIfTrue="1">
      <formula xml:space="preserve"> ISBLANK($C$10)</formula>
    </cfRule>
  </conditionalFormatting>
  <conditionalFormatting sqref="B10">
    <cfRule type="expression" dxfId="18" priority="15" stopIfTrue="1">
      <formula>ISBLANK($C$10)</formula>
    </cfRule>
  </conditionalFormatting>
  <conditionalFormatting sqref="B16:B17 D16:Q17">
    <cfRule type="expression" dxfId="17" priority="16" stopIfTrue="1">
      <formula>ISBLANK($C$16)</formula>
    </cfRule>
  </conditionalFormatting>
  <conditionalFormatting sqref="B19:B20 D19:Q20">
    <cfRule type="expression" dxfId="16" priority="17" stopIfTrue="1">
      <formula>ISBLANK($C$19)</formula>
    </cfRule>
  </conditionalFormatting>
  <conditionalFormatting sqref="B22:B23 D22:Q23">
    <cfRule type="expression" dxfId="15" priority="18" stopIfTrue="1">
      <formula>ISBLANK($C$22)</formula>
    </cfRule>
  </conditionalFormatting>
  <conditionalFormatting sqref="B25:B26 D25:Q26">
    <cfRule type="expression" dxfId="14" priority="19" stopIfTrue="1">
      <formula>ISBLANK($C$25)</formula>
    </cfRule>
  </conditionalFormatting>
  <conditionalFormatting sqref="B28:B29 D28:Q29">
    <cfRule type="expression" dxfId="13" priority="20" stopIfTrue="1">
      <formula>ISBLANK($C$28)</formula>
    </cfRule>
  </conditionalFormatting>
  <conditionalFormatting sqref="C34:D38 C39">
    <cfRule type="expression" dxfId="12" priority="99" stopIfTrue="1">
      <formula xml:space="preserve"> $A$47=0</formula>
    </cfRule>
  </conditionalFormatting>
  <conditionalFormatting sqref="N39">
    <cfRule type="expression" dxfId="11" priority="100" stopIfTrue="1">
      <formula xml:space="preserve"> $A$47=0</formula>
    </cfRule>
  </conditionalFormatting>
  <conditionalFormatting sqref="E34:M39">
    <cfRule type="expression" dxfId="10" priority="101" stopIfTrue="1">
      <formula xml:space="preserve"> $A$47=0</formula>
    </cfRule>
  </conditionalFormatting>
  <conditionalFormatting sqref="D39">
    <cfRule type="expression" dxfId="9" priority="2" stopIfTrue="1">
      <formula xml:space="preserve"> $A$47=0</formula>
    </cfRule>
  </conditionalFormatting>
  <conditionalFormatting sqref="E10:E32">
    <cfRule type="expression" dxfId="8" priority="1">
      <formula xml:space="preserve"> OR(D10 = "Stück", D10="Platz")</formula>
    </cfRule>
  </conditionalFormatting>
  <dataValidations disablePrompts="1" xWindow="864" yWindow="445" count="5">
    <dataValidation allowBlank="1" showInputMessage="1" showErrorMessage="1" errorTitle="Energiegehalt" error="Bitte Eingabe überprüfen_x000a_" promptTitle="Futtermenge" prompt="Menge gemäss Berechnung Modul 6 eingeben" sqref="G36:G37" xr:uid="{00000000-0002-0000-0400-000000000000}"/>
    <dataValidation type="decimal" allowBlank="1" showInputMessage="1" showErrorMessage="1" errorTitle="Energiegehalt" error="Bitte Eingabe überprüfen_x000a_" promptTitle="Energie" prompt="Gehalt gemäss Berechnung Modul 6 eingeben" sqref="K11 K36:K37 K14 K29 K26 K20 K23 K17 K32" xr:uid="{00000000-0002-0000-0400-000001000000}">
      <formula1>5</formula1>
      <formula2>30</formula2>
    </dataValidation>
    <dataValidation type="decimal" allowBlank="1" showInputMessage="1" showErrorMessage="1" errorTitle="RP Gehalt" error="Bitte Gehalte (MJ, RP) prüfen_x000a_" promptTitle="RP" prompt="Gehalt gemäss Berechnung Modul 6 eingeben" sqref="L11 L36:L37 L14 L29 L26 L20 L23 L17 L32" xr:uid="{00000000-0002-0000-0400-000002000000}">
      <formula1>50</formula1>
      <formula2>301</formula2>
    </dataValidation>
    <dataValidation type="decimal" allowBlank="1" showInputMessage="1" showErrorMessage="1" errorTitle="P" error="Gehalt prüfen" promptTitle="P" prompt="Gehalt gemäss Berechnung Modul 6 eingeben" sqref="M11 M36:M37 M14 M29 M26 M20 M23 M17 M32" xr:uid="{00000000-0002-0000-0400-000003000000}">
      <formula1>3.5</formula1>
      <formula2>11</formula2>
    </dataValidation>
    <dataValidation type="list" showErrorMessage="1" errorTitle="Tierkategorie" error="Wählen Sie eine zulässige Kategorie aus." prompt="Wählen Sie die gewünschte Tierkategorie aus der Liste aus._x000a_" sqref="C10 C13 C16 C19 C22 C25 C28 C31" xr:uid="{00000000-0002-0000-0400-000004000000}">
      <formula1 xml:space="preserve"> LinKorr</formula1>
    </dataValidation>
  </dataValidations>
  <pageMargins left="0.33" right="0" top="0.47" bottom="0" header="0.19685039370078741" footer="0"/>
  <pageSetup paperSize="9" fitToHeight="2" orientation="landscape" horizontalDpi="1200" verticalDpi="1200" r:id="rId1"/>
  <headerFooter alignWithMargins="0">
    <oddFooter>&amp;C&amp;"Arial Narrow,Standard"&amp;8&amp;F \ &amp;A&amp;R&amp;"Arial Narrow,Standard"&amp;8&amp;D</oddFooter>
  </headerFooter>
  <cellWatches>
    <cellWatch r="K11"/>
    <cellWatch r="A11"/>
  </cellWatche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097" r:id="rId4" name="Button 3449">
              <controlPr defaultSize="0" print="0" autoFill="0" autoLine="0" autoPict="0" macro="[0]!Drucke_Seite_Anz_1">
                <anchor moveWithCells="1">
                  <from>
                    <xdr:col>14</xdr:col>
                    <xdr:colOff>180975</xdr:colOff>
                    <xdr:row>40</xdr:row>
                    <xdr:rowOff>76200</xdr:rowOff>
                  </from>
                  <to>
                    <xdr:col>15</xdr:col>
                    <xdr:colOff>323850</xdr:colOff>
                    <xdr:row>41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5">
    <tabColor rgb="FFCCFFFF"/>
    <pageSetUpPr fitToPage="1"/>
  </sheetPr>
  <dimension ref="A1:X51"/>
  <sheetViews>
    <sheetView showRowColHeaders="0" topLeftCell="R1" zoomScaleNormal="100" workbookViewId="0">
      <selection activeCell="AB1" sqref="AB1"/>
    </sheetView>
  </sheetViews>
  <sheetFormatPr baseColWidth="10" defaultColWidth="11.42578125" defaultRowHeight="12.75"/>
  <cols>
    <col min="1" max="1" width="17.140625" style="2058" customWidth="1"/>
    <col min="2" max="3" width="8.7109375" style="2058" customWidth="1"/>
    <col min="4" max="4" width="2.7109375" customWidth="1"/>
    <col min="5" max="5" width="2.7109375" style="2058" customWidth="1"/>
    <col min="6" max="8" width="7.7109375" style="2058" customWidth="1"/>
    <col min="9" max="9" width="5.5703125" style="2058" customWidth="1"/>
    <col min="10" max="11" width="8.7109375" style="2059" customWidth="1"/>
    <col min="12" max="12" width="3.7109375" style="2060" customWidth="1"/>
    <col min="13" max="13" width="3.7109375" style="2059" customWidth="1"/>
    <col min="14" max="15" width="8.7109375" style="2059" customWidth="1"/>
    <col min="16" max="16" width="2.28515625" style="2059" customWidth="1"/>
    <col min="17" max="17" width="13.28515625" style="2058" customWidth="1"/>
    <col min="18" max="18" width="3.85546875" style="2059" customWidth="1"/>
    <col min="19" max="20" width="11.42578125" style="2059" customWidth="1"/>
    <col min="21" max="21" width="8.7109375" style="2059" customWidth="1"/>
    <col min="22" max="22" width="20.7109375" style="2060" customWidth="1"/>
    <col min="23" max="23" width="8.7109375" style="2059" customWidth="1"/>
    <col min="24" max="24" width="9.7109375" style="2059" customWidth="1"/>
    <col min="25" max="16384" width="11.42578125" style="2059"/>
  </cols>
  <sheetData>
    <row r="1" spans="1:24" ht="20.100000000000001" customHeight="1">
      <c r="A1" s="2156"/>
      <c r="B1" s="2055"/>
      <c r="C1" s="2055"/>
      <c r="E1" s="2056"/>
      <c r="F1" s="2057" t="s">
        <v>1486</v>
      </c>
      <c r="S1" s="2157" t="str">
        <f>"Grafik zur Suisse-Bilanz "&amp;Suisse_Bilanz_1.20!K8</f>
        <v>Grafik zur Suisse-Bilanz 2026</v>
      </c>
      <c r="T1" s="2158"/>
      <c r="U1" s="2158"/>
      <c r="V1" s="2159" t="str">
        <f>Suisse_Bilanz_1.20!C8</f>
        <v xml:space="preserve">  Original</v>
      </c>
      <c r="W1" s="2159">
        <f>Suisse_Bilanz_1.20!G7</f>
        <v>0</v>
      </c>
      <c r="X1" s="2160">
        <f ca="1">Suisse_Bilanz_1.20!O8</f>
        <v>46091</v>
      </c>
    </row>
    <row r="2" spans="1:24" ht="18" customHeight="1">
      <c r="E2" s="2056"/>
      <c r="F2" s="2059"/>
      <c r="J2" s="3666" t="s">
        <v>847</v>
      </c>
      <c r="K2" s="3666"/>
      <c r="L2" s="2058"/>
      <c r="N2" s="3667" t="s">
        <v>1487</v>
      </c>
      <c r="O2" s="3667"/>
    </row>
    <row r="3" spans="1:24" ht="16.5" customHeight="1" thickBot="1">
      <c r="A3" s="2155" t="s">
        <v>1531</v>
      </c>
      <c r="C3" s="2150"/>
      <c r="E3" s="2056"/>
      <c r="J3" s="3668" t="s">
        <v>1488</v>
      </c>
      <c r="K3" s="3668"/>
      <c r="L3" s="2061"/>
      <c r="N3" s="3668" t="s">
        <v>1489</v>
      </c>
      <c r="O3" s="3668"/>
    </row>
    <row r="4" spans="1:24" ht="18" customHeight="1" thickTop="1">
      <c r="A4" s="2151"/>
      <c r="B4" s="2062" t="s">
        <v>1490</v>
      </c>
      <c r="C4" s="2062" t="s">
        <v>1491</v>
      </c>
      <c r="E4" s="2056"/>
      <c r="F4" s="2063"/>
      <c r="G4" s="2063"/>
      <c r="H4" s="2063"/>
      <c r="I4" s="2064"/>
      <c r="J4" s="2065" t="s">
        <v>1492</v>
      </c>
      <c r="K4" s="2066" t="s">
        <v>1245</v>
      </c>
      <c r="L4" s="2064"/>
      <c r="M4" s="2067"/>
      <c r="N4" s="2065" t="str">
        <f>J4</f>
        <v>Bedarf</v>
      </c>
      <c r="O4" s="2066" t="str">
        <f>K4</f>
        <v>gedüngt</v>
      </c>
      <c r="P4" s="2068"/>
      <c r="Q4" s="2069" t="s">
        <v>1493</v>
      </c>
      <c r="R4" s="2067"/>
    </row>
    <row r="5" spans="1:24">
      <c r="A5" s="2070" t="s">
        <v>1494</v>
      </c>
      <c r="B5" s="2356">
        <f>Suisse_Bilanz_1.20!M78</f>
        <v>0</v>
      </c>
      <c r="C5" s="2356">
        <f>Suisse_Bilanz_1.20!N78</f>
        <v>0</v>
      </c>
      <c r="E5" s="2071"/>
      <c r="F5" s="2072" t="s">
        <v>1495</v>
      </c>
      <c r="G5" s="2072"/>
      <c r="H5" s="2072"/>
      <c r="I5" s="2072" t="s">
        <v>1494</v>
      </c>
      <c r="J5" s="2323">
        <f>B5</f>
        <v>0</v>
      </c>
      <c r="K5" s="2324"/>
      <c r="L5" s="2058"/>
      <c r="N5" s="2073">
        <f>IF($J$13&gt;0,J5/J$12,0)</f>
        <v>0</v>
      </c>
      <c r="O5" s="2074"/>
      <c r="P5" s="2075"/>
      <c r="Q5" s="2076" t="str">
        <f>IF(J5&gt;0,$I5&amp;" = "&amp;ROUND(J5,0)&amp; " kg","")</f>
        <v/>
      </c>
    </row>
    <row r="6" spans="1:24">
      <c r="A6" s="2153" t="s">
        <v>1496</v>
      </c>
      <c r="B6" s="2357">
        <f>Suisse_Bilanz_1.20!M107</f>
        <v>0</v>
      </c>
      <c r="C6" s="2357">
        <f>Suisse_Bilanz_1.20!N107</f>
        <v>0</v>
      </c>
      <c r="E6" s="2071"/>
      <c r="F6" s="2077" t="s">
        <v>1497</v>
      </c>
      <c r="G6" s="2078"/>
      <c r="H6" s="2078"/>
      <c r="I6" s="2078" t="s">
        <v>1496</v>
      </c>
      <c r="J6" s="2325">
        <f>B6</f>
        <v>0</v>
      </c>
      <c r="K6" s="2326"/>
      <c r="L6" s="2058"/>
      <c r="N6" s="2079">
        <f>IF($J$13&gt;0,J6/J$12,0)</f>
        <v>0</v>
      </c>
      <c r="O6" s="2080"/>
      <c r="P6" s="2075"/>
      <c r="Q6" s="2081" t="str">
        <f>IF(J6&gt;0, $I6&amp;" = "&amp;ROUND(J6,0)&amp; " kg","")</f>
        <v/>
      </c>
    </row>
    <row r="7" spans="1:24">
      <c r="A7" s="2070" t="s">
        <v>1390</v>
      </c>
      <c r="B7" s="2356">
        <f>Suisse_Bilanz_1.20!J156</f>
        <v>0</v>
      </c>
      <c r="C7" s="2356">
        <f>Suisse_Bilanz_1.20!K156</f>
        <v>0</v>
      </c>
      <c r="E7" s="2071"/>
      <c r="F7" s="2082" t="s">
        <v>1498</v>
      </c>
      <c r="G7" s="2083"/>
      <c r="H7" s="2083"/>
      <c r="I7" s="2083" t="s">
        <v>1499</v>
      </c>
      <c r="J7" s="2327"/>
      <c r="K7" s="2328">
        <f>B19+B24</f>
        <v>0</v>
      </c>
      <c r="L7" s="2063" t="s">
        <v>1500</v>
      </c>
      <c r="N7" s="2084"/>
      <c r="O7" s="2085" t="str">
        <f>IF(AND(J12&lt;&gt;0,K7&lt;&gt;""),K7/$J$12,"")</f>
        <v/>
      </c>
      <c r="P7" s="2075"/>
      <c r="Q7" s="2086" t="str">
        <f>IF(AND(ISNUMBER(K7),K7&gt;0),$I7&amp;" = "&amp;ROUND(K7,0)&amp; " kg","")</f>
        <v/>
      </c>
    </row>
    <row r="8" spans="1:24">
      <c r="A8" s="2070" t="s">
        <v>1501</v>
      </c>
      <c r="B8" s="2357">
        <f>Suisse_Bilanz_1.20!N122</f>
        <v>0</v>
      </c>
      <c r="C8" s="2357">
        <f>Suisse_Bilanz_1.20!O122</f>
        <v>0</v>
      </c>
      <c r="E8" s="2071"/>
      <c r="F8" s="2087" t="s">
        <v>1502</v>
      </c>
      <c r="G8" s="2087"/>
      <c r="H8" s="2087"/>
      <c r="I8" s="2087" t="s">
        <v>1503</v>
      </c>
      <c r="J8" s="2327"/>
      <c r="K8" s="2329">
        <f>IF(B8&gt;=0,B8,"")</f>
        <v>0</v>
      </c>
      <c r="L8" s="2058"/>
      <c r="N8" s="2084"/>
      <c r="O8" s="2088" t="str">
        <f>IF(AND(J12&lt;&gt;0,K8&lt;&gt;""),K8/$J$12,"")</f>
        <v/>
      </c>
      <c r="P8" s="2075"/>
      <c r="Q8" s="2086" t="str">
        <f>IF(AND(ISNUMBER(K8),K8&gt;0),$I8&amp;" = "&amp;ROUND(K8,0)&amp; " kg","")</f>
        <v/>
      </c>
    </row>
    <row r="9" spans="1:24">
      <c r="A9" s="2070" t="s">
        <v>1504</v>
      </c>
      <c r="B9" s="2357">
        <f>Suisse_Bilanz_1.20!N146</f>
        <v>0</v>
      </c>
      <c r="C9" s="2357">
        <f>Suisse_Bilanz_1.20!O146</f>
        <v>0</v>
      </c>
      <c r="E9" s="2071"/>
      <c r="F9" s="2089" t="s">
        <v>1505</v>
      </c>
      <c r="G9" s="2089"/>
      <c r="H9" s="2089"/>
      <c r="I9" s="2089" t="s">
        <v>1506</v>
      </c>
      <c r="J9" s="2327"/>
      <c r="K9" s="2330">
        <f>IF(B9&gt;=0,B9,"")</f>
        <v>0</v>
      </c>
      <c r="L9" s="2058"/>
      <c r="N9" s="2084"/>
      <c r="O9" s="2090" t="str">
        <f>IF(AND(J12&lt;&gt;0,K9&lt;&gt;""),K9/$J$12,"")</f>
        <v/>
      </c>
      <c r="P9" s="2075"/>
      <c r="Q9" s="2086" t="str">
        <f>IF(AND(ISNUMBER(K9),K9&gt;0),I9&amp;" = "&amp;ROUND(K9,0)&amp; " kg","")</f>
        <v/>
      </c>
    </row>
    <row r="10" spans="1:24">
      <c r="A10" s="2070" t="s">
        <v>1507</v>
      </c>
      <c r="B10" s="2358">
        <f>Suisse_Bilanz_1.20!N131</f>
        <v>0</v>
      </c>
      <c r="C10" s="2358">
        <f>Suisse_Bilanz_1.20!O131</f>
        <v>0</v>
      </c>
      <c r="E10" s="2071"/>
      <c r="F10" s="2091" t="s">
        <v>1508</v>
      </c>
      <c r="G10" s="2091"/>
      <c r="H10" s="2091"/>
      <c r="I10" s="2091" t="s">
        <v>1509</v>
      </c>
      <c r="J10" s="2327"/>
      <c r="K10" s="2331">
        <f>IF(B10&gt;=0,B10,"")</f>
        <v>0</v>
      </c>
      <c r="L10" s="2058"/>
      <c r="N10" s="2084"/>
      <c r="O10" s="2092" t="str">
        <f>IF(AND(J12&lt;&gt;0,K10&lt;&gt;""),K10/$J$12,"")</f>
        <v/>
      </c>
      <c r="P10" s="2075"/>
      <c r="Q10" s="2081" t="str">
        <f>IF(AND(ISNUMBER(K10),K10&gt;0),I10&amp;" = "&amp;ROUND(K10,0)&amp; " kg","")</f>
        <v/>
      </c>
    </row>
    <row r="11" spans="1:24">
      <c r="A11" s="2154" t="s">
        <v>1510</v>
      </c>
      <c r="B11" s="2359">
        <f>Suisse_Bilanz_1.20!J164</f>
        <v>0</v>
      </c>
      <c r="C11" s="2359">
        <f>Suisse_Bilanz_1.20!K164</f>
        <v>0</v>
      </c>
      <c r="E11" s="2071"/>
      <c r="F11" s="2093" t="s">
        <v>1511</v>
      </c>
      <c r="G11" s="2094"/>
      <c r="H11" s="2094"/>
      <c r="I11" s="2094" t="s">
        <v>1512</v>
      </c>
      <c r="J11" s="2332">
        <f>B11</f>
        <v>0</v>
      </c>
      <c r="K11" s="2333"/>
      <c r="L11" s="2058"/>
      <c r="N11" s="2095">
        <f>IF($J$13&gt;0,J11/J$12,0)</f>
        <v>0</v>
      </c>
      <c r="O11" s="2096"/>
      <c r="P11" s="2075"/>
      <c r="Q11" s="2081" t="str">
        <f>IF(J11=0,"",$I11&amp;" = "&amp;ROUND(J11,0)&amp; " kg")</f>
        <v/>
      </c>
    </row>
    <row r="12" spans="1:24" ht="15.95" customHeight="1">
      <c r="B12" s="2360"/>
      <c r="C12" s="2360"/>
      <c r="E12" s="2056"/>
      <c r="F12" s="2063"/>
      <c r="G12" s="2063"/>
      <c r="H12" s="2063"/>
      <c r="I12" s="2097" t="s">
        <v>1513</v>
      </c>
      <c r="J12" s="2334">
        <f>J6+J5</f>
        <v>0</v>
      </c>
      <c r="K12" s="2335"/>
      <c r="L12" s="2058"/>
      <c r="N12" s="2098">
        <f>IF($J$13&gt;0,J12/J$12,0)</f>
        <v>0</v>
      </c>
      <c r="O12" s="2080"/>
      <c r="P12" s="2075"/>
      <c r="Q12" s="2162">
        <f>K13</f>
        <v>0</v>
      </c>
    </row>
    <row r="13" spans="1:24" ht="15.95" customHeight="1" thickBot="1">
      <c r="A13" s="2099"/>
      <c r="B13" s="2360"/>
      <c r="C13" s="2360"/>
      <c r="E13" s="2100"/>
      <c r="F13" s="2101"/>
      <c r="G13" s="2101"/>
      <c r="H13" s="2101"/>
      <c r="I13" s="2102" t="s">
        <v>1514</v>
      </c>
      <c r="J13" s="2336">
        <f>J5+J6+J11</f>
        <v>0</v>
      </c>
      <c r="K13" s="2337">
        <f>SUM(K7:K10)</f>
        <v>0</v>
      </c>
      <c r="L13" s="2103"/>
      <c r="M13" s="2104"/>
      <c r="N13" s="2105">
        <f>IF($J$13&gt;0,J13/J$12,0)</f>
        <v>0</v>
      </c>
      <c r="O13" s="2106">
        <f>SUM(O7:O10)</f>
        <v>0</v>
      </c>
      <c r="P13" s="2107"/>
      <c r="Q13" s="2163">
        <f>J13</f>
        <v>0</v>
      </c>
    </row>
    <row r="14" spans="1:24" ht="13.5" thickTop="1">
      <c r="A14" s="2108" t="s">
        <v>1515</v>
      </c>
      <c r="B14" s="2361"/>
      <c r="C14" s="2361"/>
      <c r="E14" s="2109"/>
      <c r="J14" s="2338"/>
      <c r="K14" s="2338"/>
      <c r="L14" s="2058"/>
      <c r="N14" s="2110">
        <f>N13</f>
        <v>0</v>
      </c>
      <c r="O14" s="2111">
        <f>N14</f>
        <v>0</v>
      </c>
      <c r="P14" s="2112"/>
      <c r="Q14" s="2113" t="s">
        <v>1516</v>
      </c>
    </row>
    <row r="15" spans="1:24" ht="12" customHeight="1">
      <c r="A15" s="2070" t="s">
        <v>1517</v>
      </c>
      <c r="B15" s="2357"/>
      <c r="C15" s="2357">
        <f>Suisse_Bilanz_1.20!K161</f>
        <v>0</v>
      </c>
      <c r="E15" s="2114"/>
      <c r="F15" s="2063"/>
      <c r="G15" s="2059"/>
      <c r="H15" s="2063"/>
      <c r="I15" s="2115" t="s">
        <v>1518</v>
      </c>
      <c r="J15" s="2338"/>
      <c r="K15" s="2339">
        <f>K13-J12</f>
        <v>0</v>
      </c>
      <c r="L15" s="2116"/>
      <c r="N15" s="2117"/>
      <c r="O15" s="2118" t="e">
        <f>K15/$J$12</f>
        <v>#DIV/0!</v>
      </c>
      <c r="P15" s="2119"/>
    </row>
    <row r="16" spans="1:24" s="2060" customFormat="1" ht="18" customHeight="1">
      <c r="A16" s="2108"/>
      <c r="B16" s="2120"/>
      <c r="C16" s="2120"/>
      <c r="E16" s="2109"/>
      <c r="F16" s="2061"/>
      <c r="G16" s="2061"/>
      <c r="H16" s="2116"/>
      <c r="I16" s="2116" t="s">
        <v>1519</v>
      </c>
      <c r="J16" s="2340"/>
      <c r="K16" s="2341">
        <f>ABS(K13-J13)</f>
        <v>0</v>
      </c>
      <c r="L16" s="2121" t="str">
        <f>IF((K13-J13)&gt;0,"kg über der Limite bzw.","kg unter der Limite bzw.")</f>
        <v>kg unter der Limite bzw.</v>
      </c>
      <c r="M16" s="2122"/>
      <c r="O16" s="2123">
        <f>O13-O14</f>
        <v>0</v>
      </c>
      <c r="P16" s="2061"/>
      <c r="Q16" s="2061"/>
    </row>
    <row r="17" spans="1:22" ht="18" customHeight="1">
      <c r="A17" s="2152" t="s">
        <v>1520</v>
      </c>
      <c r="E17" s="2056"/>
      <c r="G17" s="2063"/>
      <c r="H17" s="2063"/>
    </row>
    <row r="18" spans="1:22" ht="13.5">
      <c r="A18" s="2161" t="s">
        <v>1521</v>
      </c>
      <c r="E18" s="2056"/>
      <c r="L18" s="2059"/>
      <c r="S18" s="2124"/>
      <c r="V18" s="2059"/>
    </row>
    <row r="19" spans="1:22">
      <c r="A19" s="2064" t="s">
        <v>1529</v>
      </c>
      <c r="B19" s="2362">
        <f>B7</f>
        <v>0</v>
      </c>
      <c r="C19" s="2362">
        <f>C7</f>
        <v>0</v>
      </c>
      <c r="E19" s="2056"/>
      <c r="L19" s="2059"/>
      <c r="V19" s="2059"/>
    </row>
    <row r="20" spans="1:22">
      <c r="A20" s="2125" t="s">
        <v>1524</v>
      </c>
      <c r="B20" s="2363">
        <f t="shared" ref="B20:C22" si="0">IF(B8&lt;0,B8,0)</f>
        <v>0</v>
      </c>
      <c r="C20" s="2363">
        <f t="shared" si="0"/>
        <v>0</v>
      </c>
      <c r="E20" s="2126"/>
      <c r="F20" s="2127"/>
      <c r="H20" s="2059"/>
      <c r="L20" s="2059"/>
      <c r="V20" s="2059"/>
    </row>
    <row r="21" spans="1:22">
      <c r="A21" s="2125" t="s">
        <v>1525</v>
      </c>
      <c r="B21" s="2363">
        <f t="shared" si="0"/>
        <v>0</v>
      </c>
      <c r="C21" s="2363">
        <f t="shared" si="0"/>
        <v>0</v>
      </c>
      <c r="E21" s="2126"/>
      <c r="F21" s="2127"/>
      <c r="H21" s="2059"/>
      <c r="L21" s="2059"/>
      <c r="V21" s="2059"/>
    </row>
    <row r="22" spans="1:22">
      <c r="A22" s="2125" t="s">
        <v>1526</v>
      </c>
      <c r="B22" s="2363">
        <f t="shared" si="0"/>
        <v>0</v>
      </c>
      <c r="C22" s="2363">
        <f t="shared" si="0"/>
        <v>0</v>
      </c>
      <c r="E22" s="2126"/>
      <c r="V22" s="2059"/>
    </row>
    <row r="23" spans="1:22">
      <c r="A23" s="2125" t="s">
        <v>1530</v>
      </c>
      <c r="B23" s="2363">
        <f>-B15</f>
        <v>0</v>
      </c>
      <c r="C23" s="2363">
        <f>-C15</f>
        <v>0</v>
      </c>
      <c r="E23" s="2126"/>
      <c r="V23" s="2059"/>
    </row>
    <row r="24" spans="1:22">
      <c r="A24" s="2148" t="s">
        <v>1527</v>
      </c>
      <c r="B24" s="2364">
        <f>SUM(B20:B23)</f>
        <v>0</v>
      </c>
      <c r="C24" s="2364">
        <f>SUM(C20:C23)</f>
        <v>0</v>
      </c>
      <c r="E24" s="2128"/>
      <c r="F24" s="2127"/>
      <c r="H24" s="2059"/>
      <c r="L24" s="2059"/>
    </row>
    <row r="25" spans="1:22">
      <c r="A25" s="2149" t="s">
        <v>1528</v>
      </c>
      <c r="B25" s="2365">
        <f>B19+B24</f>
        <v>0</v>
      </c>
      <c r="C25" s="2365">
        <f>C19+C24</f>
        <v>0</v>
      </c>
      <c r="E25" s="2128"/>
      <c r="F25" s="2127"/>
      <c r="H25" s="2059"/>
      <c r="L25" s="2059"/>
    </row>
    <row r="26" spans="1:22" ht="18" customHeight="1">
      <c r="E26" s="2056"/>
      <c r="G26" s="2129"/>
      <c r="J26" s="3666" t="s">
        <v>1522</v>
      </c>
      <c r="K26" s="3666"/>
      <c r="L26" s="2058"/>
      <c r="N26" s="3667" t="s">
        <v>1487</v>
      </c>
      <c r="O26" s="3667"/>
    </row>
    <row r="27" spans="1:22" ht="16.5" thickBot="1">
      <c r="E27" s="2056"/>
      <c r="G27" s="2129"/>
      <c r="J27" s="3664" t="s">
        <v>1523</v>
      </c>
      <c r="K27" s="3664"/>
      <c r="L27" s="2061"/>
      <c r="N27" s="3665" t="s">
        <v>1489</v>
      </c>
      <c r="O27" s="3665"/>
      <c r="V27" s="2059"/>
    </row>
    <row r="28" spans="1:22" ht="18" customHeight="1" thickTop="1">
      <c r="E28" s="2056"/>
      <c r="I28" s="2064"/>
      <c r="J28" s="2130" t="s">
        <v>1492</v>
      </c>
      <c r="K28" s="2131" t="s">
        <v>1245</v>
      </c>
      <c r="L28" s="2064"/>
      <c r="M28" s="2067"/>
      <c r="N28" s="2130" t="str">
        <f>J28</f>
        <v>Bedarf</v>
      </c>
      <c r="O28" s="2131" t="str">
        <f>K28</f>
        <v>gedüngt</v>
      </c>
      <c r="P28" s="2068"/>
      <c r="Q28" s="2069" t="s">
        <v>1493</v>
      </c>
      <c r="V28" s="2059"/>
    </row>
    <row r="29" spans="1:22">
      <c r="E29" s="2056"/>
      <c r="F29" s="2072" t="s">
        <v>1495</v>
      </c>
      <c r="G29" s="2072"/>
      <c r="H29" s="2072"/>
      <c r="I29" s="2072" t="s">
        <v>1494</v>
      </c>
      <c r="J29" s="2342">
        <f>C5</f>
        <v>0</v>
      </c>
      <c r="K29" s="2343"/>
      <c r="L29" s="2058"/>
      <c r="N29" s="2132">
        <f>IF($J$37&gt;0,J29/J$36,0)</f>
        <v>0</v>
      </c>
      <c r="O29" s="2133"/>
      <c r="P29" s="2075"/>
      <c r="Q29" s="2076" t="str">
        <f>IF(J29&gt;0,$I5&amp;" = "&amp;ROUND(J29,0)&amp; " kg","")</f>
        <v/>
      </c>
      <c r="V29" s="2059"/>
    </row>
    <row r="30" spans="1:22">
      <c r="E30" s="2056"/>
      <c r="F30" s="2077" t="s">
        <v>1497</v>
      </c>
      <c r="G30" s="2078"/>
      <c r="H30" s="2078"/>
      <c r="I30" s="2078" t="s">
        <v>1496</v>
      </c>
      <c r="J30" s="2344">
        <f>C6</f>
        <v>0</v>
      </c>
      <c r="K30" s="2345"/>
      <c r="L30" s="2058"/>
      <c r="N30" s="2134">
        <f>IF($J$37&gt;0,J30/J$36,0)</f>
        <v>0</v>
      </c>
      <c r="O30" s="2135"/>
      <c r="P30" s="2075"/>
      <c r="Q30" s="2081" t="str">
        <f>IF(J30&gt;0, $I6&amp;" = "&amp;ROUND(J30,0)&amp; " kg","")</f>
        <v/>
      </c>
      <c r="V30" s="2059"/>
    </row>
    <row r="31" spans="1:22">
      <c r="E31" s="2056"/>
      <c r="F31" s="2082" t="s">
        <v>1498</v>
      </c>
      <c r="G31" s="2083"/>
      <c r="H31" s="2083"/>
      <c r="I31" s="2083" t="s">
        <v>1499</v>
      </c>
      <c r="J31" s="2346"/>
      <c r="K31" s="2347">
        <f>C19+C24</f>
        <v>0</v>
      </c>
      <c r="L31" s="2063" t="s">
        <v>1500</v>
      </c>
      <c r="N31" s="2136"/>
      <c r="O31" s="2137" t="str">
        <f>IF(AND(J36&lt;&gt;0,K31&lt;&gt;""),K31/J$36,"")</f>
        <v/>
      </c>
      <c r="P31" s="2075"/>
      <c r="Q31" s="2086" t="str">
        <f>IF(AND(ISNUMBER(K31),K31&gt;0),$I7&amp;" = "&amp;ROUND(K31,0)&amp; " kg","")</f>
        <v/>
      </c>
      <c r="V31" s="2059"/>
    </row>
    <row r="32" spans="1:22">
      <c r="E32" s="2056"/>
      <c r="F32" s="2087" t="s">
        <v>1502</v>
      </c>
      <c r="G32" s="2087"/>
      <c r="H32" s="2087"/>
      <c r="I32" s="2087" t="s">
        <v>1503</v>
      </c>
      <c r="J32" s="2346"/>
      <c r="K32" s="2348">
        <f>IF(C8&gt;=0,C8,"")</f>
        <v>0</v>
      </c>
      <c r="L32" s="2058"/>
      <c r="N32" s="2136"/>
      <c r="O32" s="2138" t="str">
        <f>IF(AND(J36&lt;&gt;0,K32&lt;&gt;""),K32/J$36,"")</f>
        <v/>
      </c>
      <c r="P32" s="2075"/>
      <c r="Q32" s="2086" t="str">
        <f>IF(AND(ISNUMBER(K32),K32&gt;0),$I8&amp;" = "&amp;ROUND(K32,0)&amp; " kg","")</f>
        <v/>
      </c>
      <c r="V32" s="2059"/>
    </row>
    <row r="33" spans="5:22">
      <c r="E33" s="2056"/>
      <c r="F33" s="2089" t="s">
        <v>1505</v>
      </c>
      <c r="G33" s="2089"/>
      <c r="H33" s="2089"/>
      <c r="I33" s="2089" t="s">
        <v>1506</v>
      </c>
      <c r="J33" s="2346"/>
      <c r="K33" s="2349">
        <f>IF(C9&gt;=0,C9,"")</f>
        <v>0</v>
      </c>
      <c r="L33" s="2058"/>
      <c r="N33" s="2136"/>
      <c r="O33" s="2139" t="str">
        <f>IF(AND(J36&lt;&gt;0,K33&lt;&gt;""),K33/J$36,"")</f>
        <v/>
      </c>
      <c r="P33" s="2075"/>
      <c r="Q33" s="2086" t="str">
        <f>IF(AND(ISNUMBER(K33),K33&gt;0),$I9&amp;" = "&amp;ROUND(K33,0)&amp; " kg","")</f>
        <v/>
      </c>
      <c r="V33" s="2059"/>
    </row>
    <row r="34" spans="5:22">
      <c r="E34" s="2056"/>
      <c r="F34" s="2091" t="s">
        <v>1508</v>
      </c>
      <c r="G34" s="2091"/>
      <c r="H34" s="2091"/>
      <c r="I34" s="2091" t="s">
        <v>1509</v>
      </c>
      <c r="J34" s="2346"/>
      <c r="K34" s="2350">
        <f>IF(C10&gt;=0,C10,"")</f>
        <v>0</v>
      </c>
      <c r="L34" s="2058"/>
      <c r="N34" s="2136"/>
      <c r="O34" s="2140" t="str">
        <f>IF(AND(J36&lt;&gt;0,K34&lt;&gt;""),K34/J$36,"")</f>
        <v/>
      </c>
      <c r="P34" s="2075"/>
      <c r="Q34" s="2081" t="str">
        <f>IF(AND(ISNUMBER(K34),K34&gt;0),$I10&amp;" = "&amp;ROUND(K34,0)&amp; " kg","")</f>
        <v/>
      </c>
      <c r="V34" s="2059"/>
    </row>
    <row r="35" spans="5:22">
      <c r="E35" s="2056"/>
      <c r="F35" s="2093" t="s">
        <v>1511</v>
      </c>
      <c r="G35" s="2094"/>
      <c r="H35" s="2094"/>
      <c r="I35" s="2094" t="s">
        <v>1512</v>
      </c>
      <c r="J35" s="2351">
        <f>C11</f>
        <v>0</v>
      </c>
      <c r="K35" s="2352"/>
      <c r="L35" s="2058"/>
      <c r="N35" s="2141">
        <f>IF($J$37&gt;0,J35/J$36,0)</f>
        <v>0</v>
      </c>
      <c r="O35" s="2142"/>
      <c r="P35" s="2075"/>
      <c r="Q35" s="2081" t="str">
        <f>IF(J35=0,"",$I11&amp;" = "&amp;ROUND(J35,0)&amp; " kg")</f>
        <v/>
      </c>
      <c r="V35" s="2059"/>
    </row>
    <row r="36" spans="5:22" ht="15.95" customHeight="1">
      <c r="E36" s="2056"/>
      <c r="F36" s="2063"/>
      <c r="G36" s="2063"/>
      <c r="H36" s="2063"/>
      <c r="I36" s="2097" t="s">
        <v>1513</v>
      </c>
      <c r="J36" s="2346">
        <f>J30+J29</f>
        <v>0</v>
      </c>
      <c r="K36" s="2353"/>
      <c r="L36" s="2058"/>
      <c r="N36" s="2143">
        <f>IF($J$13&gt;0,J36/J$36,0)</f>
        <v>0</v>
      </c>
      <c r="O36" s="2135"/>
      <c r="P36" s="2075"/>
      <c r="Q36" s="2162">
        <f>K37</f>
        <v>0</v>
      </c>
      <c r="V36" s="2059"/>
    </row>
    <row r="37" spans="5:22" ht="15.95" customHeight="1" thickBot="1">
      <c r="E37" s="2056"/>
      <c r="F37" s="2101"/>
      <c r="G37" s="2101"/>
      <c r="H37" s="2101"/>
      <c r="I37" s="2102" t="s">
        <v>1514</v>
      </c>
      <c r="J37" s="2354">
        <f>J29+J30+J35</f>
        <v>0</v>
      </c>
      <c r="K37" s="2355">
        <f>SUM(K31:K34)</f>
        <v>0</v>
      </c>
      <c r="L37" s="2103"/>
      <c r="M37" s="2104"/>
      <c r="N37" s="2144">
        <f>IF($J$37&gt;0,J37/J$36,0)</f>
        <v>0</v>
      </c>
      <c r="O37" s="2145">
        <f>SUM(O31:O34)</f>
        <v>0</v>
      </c>
      <c r="P37" s="2107"/>
      <c r="Q37" s="2163">
        <f>J37</f>
        <v>0</v>
      </c>
      <c r="V37" s="2059"/>
    </row>
    <row r="38" spans="5:22" ht="13.5" thickTop="1">
      <c r="E38" s="2056"/>
      <c r="J38" s="2338"/>
      <c r="K38" s="2338"/>
      <c r="L38" s="2058"/>
      <c r="N38" s="2110">
        <f>N37</f>
        <v>0</v>
      </c>
      <c r="O38" s="2111">
        <f>N38</f>
        <v>0</v>
      </c>
      <c r="P38" s="2112"/>
      <c r="Q38" s="2113" t="s">
        <v>1516</v>
      </c>
      <c r="V38" s="2059"/>
    </row>
    <row r="39" spans="5:22" ht="13.5" customHeight="1">
      <c r="E39" s="2056"/>
      <c r="F39" s="2063"/>
      <c r="G39" s="2059"/>
      <c r="H39" s="2063"/>
      <c r="I39" s="2115" t="s">
        <v>1518</v>
      </c>
      <c r="J39" s="2338"/>
      <c r="K39" s="2339">
        <f>K37-J36</f>
        <v>0</v>
      </c>
      <c r="L39" s="2116"/>
      <c r="N39" s="2117"/>
      <c r="O39" s="2118" t="e">
        <f>K39/J$36</f>
        <v>#DIV/0!</v>
      </c>
      <c r="P39" s="2119"/>
      <c r="V39" s="2059"/>
    </row>
    <row r="40" spans="5:22" ht="18" customHeight="1">
      <c r="E40" s="2056"/>
      <c r="F40" s="2061"/>
      <c r="G40" s="2061"/>
      <c r="H40" s="2116"/>
      <c r="I40" s="2116" t="s">
        <v>1519</v>
      </c>
      <c r="J40" s="2340"/>
      <c r="K40" s="2341">
        <f>ABS(K37-J37)</f>
        <v>0</v>
      </c>
      <c r="L40" s="2121" t="str">
        <f>IF((K37-J37)&gt;0,"kg über der Limite bzw.","kg unter der Limite bzw.")</f>
        <v>kg unter der Limite bzw.</v>
      </c>
      <c r="M40" s="2122"/>
      <c r="N40" s="2060"/>
      <c r="O40" s="2123">
        <f>O37-O38</f>
        <v>0</v>
      </c>
      <c r="P40" s="2146"/>
      <c r="Q40" s="2061"/>
      <c r="V40" s="2059"/>
    </row>
    <row r="41" spans="5:22">
      <c r="E41" s="2056"/>
      <c r="I41" s="2147"/>
      <c r="L41" s="2059"/>
      <c r="V41" s="2059"/>
    </row>
    <row r="42" spans="5:22">
      <c r="E42" s="2056"/>
      <c r="L42" s="2059"/>
      <c r="V42" s="2059"/>
    </row>
    <row r="43" spans="5:22">
      <c r="E43" s="2056"/>
      <c r="L43" s="2059"/>
    </row>
    <row r="44" spans="5:22">
      <c r="E44" s="2056"/>
      <c r="L44" s="2059"/>
      <c r="V44" s="2059"/>
    </row>
    <row r="45" spans="5:22">
      <c r="E45" s="2056"/>
    </row>
    <row r="46" spans="5:22">
      <c r="E46" s="2056"/>
    </row>
    <row r="47" spans="5:22">
      <c r="E47" s="2056"/>
    </row>
    <row r="48" spans="5:22">
      <c r="E48" s="2056"/>
    </row>
    <row r="49" spans="5:5">
      <c r="E49" s="2056"/>
    </row>
    <row r="50" spans="5:5">
      <c r="E50" s="2056"/>
    </row>
    <row r="51" spans="5:5">
      <c r="E51" s="2056" t="s">
        <v>54</v>
      </c>
    </row>
  </sheetData>
  <sheetProtection algorithmName="SHA-512" hashValue="vJlhXiMRxOCcY5DgbRXVn6qgAuTtMOzYQbngSD2JUMAMhH+4FTwrul8uWlgQd08cDpANHJ9X3z5/dkZ3oIuHsQ==" saltValue="ZIExZlIlldB7ZfwsDVm3TQ==" spinCount="100000" sheet="1" objects="1" scenarios="1"/>
  <mergeCells count="8">
    <mergeCell ref="J27:K27"/>
    <mergeCell ref="N27:O27"/>
    <mergeCell ref="J2:K2"/>
    <mergeCell ref="N2:O2"/>
    <mergeCell ref="J3:K3"/>
    <mergeCell ref="N3:O3"/>
    <mergeCell ref="J26:K26"/>
    <mergeCell ref="N26:O26"/>
  </mergeCells>
  <conditionalFormatting sqref="O13">
    <cfRule type="expression" dxfId="7" priority="6" stopIfTrue="1">
      <formula>$O$13&gt;$N$13</formula>
    </cfRule>
  </conditionalFormatting>
  <conditionalFormatting sqref="K16">
    <cfRule type="cellIs" dxfId="6" priority="5" operator="between">
      <formula>-1</formula>
      <formula>1</formula>
    </cfRule>
  </conditionalFormatting>
  <conditionalFormatting sqref="O37">
    <cfRule type="expression" dxfId="5" priority="4" stopIfTrue="1">
      <formula>$O$37&gt;$N$37</formula>
    </cfRule>
  </conditionalFormatting>
  <conditionalFormatting sqref="I16:Q16">
    <cfRule type="expression" dxfId="4" priority="3">
      <formula>AND($O$16&gt;0,ISNUMBER($O$16))</formula>
    </cfRule>
  </conditionalFormatting>
  <conditionalFormatting sqref="K40">
    <cfRule type="cellIs" dxfId="3" priority="2" operator="between">
      <formula>-1</formula>
      <formula>1</formula>
    </cfRule>
  </conditionalFormatting>
  <conditionalFormatting sqref="I40:O40">
    <cfRule type="expression" dxfId="2" priority="1">
      <formula>AND($O$40&gt;0,ISNUMBER($O$40))</formula>
    </cfRule>
  </conditionalFormatting>
  <pageMargins left="0.77" right="0" top="0.69" bottom="0.27559055118110237" header="0.27559055118110237" footer="0.15748031496062992"/>
  <pageSetup paperSize="9" scale="58" orientation="portrait" horizontalDpi="1200" verticalDpi="1200" r:id="rId1"/>
  <headerFooter alignWithMargins="0">
    <oddFooter>&amp;R&amp;"Arial Narrow,Standard"&amp;8&amp;F, &amp;D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3">
    <pageSetUpPr fitToPage="1"/>
  </sheetPr>
  <dimension ref="A1:AI81"/>
  <sheetViews>
    <sheetView showGridLines="0" showRowColHeaders="0" zoomScale="125" zoomScaleNormal="125" workbookViewId="0">
      <pane xSplit="4" ySplit="6" topLeftCell="E7" activePane="bottomRight" state="frozen"/>
      <selection pane="topRight" activeCell="D1" sqref="D1"/>
      <selection pane="bottomLeft" activeCell="A5" sqref="A5"/>
      <selection pane="bottomRight"/>
    </sheetView>
  </sheetViews>
  <sheetFormatPr baseColWidth="10" defaultColWidth="11.42578125" defaultRowHeight="15.95" customHeight="1"/>
  <cols>
    <col min="1" max="1" width="2.7109375" style="714" customWidth="1"/>
    <col min="2" max="2" width="15.140625" style="714" customWidth="1"/>
    <col min="3" max="3" width="2.5703125" style="714" customWidth="1"/>
    <col min="4" max="4" width="4.28515625" style="714" customWidth="1"/>
    <col min="5" max="6" width="4.42578125" style="715" customWidth="1"/>
    <col min="7" max="7" width="6" style="715" customWidth="1"/>
    <col min="8" max="8" width="4.85546875" style="715" customWidth="1"/>
    <col min="9" max="9" width="4.140625" style="714" customWidth="1"/>
    <col min="10" max="10" width="1.42578125" style="714" customWidth="1"/>
    <col min="11" max="11" width="4.140625" style="714" customWidth="1"/>
    <col min="12" max="12" width="6.85546875" style="715" customWidth="1"/>
    <col min="13" max="14" width="5.7109375" style="715" customWidth="1"/>
    <col min="15" max="15" width="5.28515625" style="715" customWidth="1"/>
    <col min="16" max="20" width="3.85546875" style="716" customWidth="1"/>
    <col min="21" max="21" width="9.5703125" style="716" customWidth="1"/>
    <col min="22" max="22" width="5.7109375" style="717" customWidth="1"/>
    <col min="23" max="23" width="5.5703125" style="718" bestFit="1" customWidth="1"/>
    <col min="24" max="25" width="4.7109375" style="719" customWidth="1"/>
    <col min="26" max="26" width="3.7109375" style="719" customWidth="1"/>
    <col min="27" max="27" width="1.5703125" style="719" customWidth="1"/>
    <col min="28" max="28" width="3.7109375" style="719" customWidth="1"/>
    <col min="29" max="32" width="4.7109375" style="719" customWidth="1"/>
    <col min="33" max="33" width="14.140625" style="720" customWidth="1"/>
    <col min="34" max="34" width="34.5703125" style="719" customWidth="1"/>
    <col min="35" max="35" width="11.42578125" style="721"/>
    <col min="36" max="16384" width="11.42578125" style="714"/>
  </cols>
  <sheetData>
    <row r="1" spans="1:35" ht="18" customHeight="1">
      <c r="A1" s="883"/>
      <c r="B1" s="1243" t="s">
        <v>228</v>
      </c>
      <c r="C1" s="791"/>
      <c r="D1" s="791"/>
      <c r="E1" s="1244"/>
      <c r="F1" s="1244"/>
      <c r="G1" s="1244"/>
      <c r="H1" s="1244"/>
      <c r="I1" s="791"/>
      <c r="J1" s="791"/>
      <c r="K1" s="791"/>
      <c r="L1" s="1244"/>
      <c r="M1" s="1244"/>
      <c r="N1" s="1244"/>
      <c r="O1" s="1245" t="s">
        <v>1576</v>
      </c>
      <c r="AH1" s="1320"/>
    </row>
    <row r="2" spans="1:35" ht="14.1" customHeight="1">
      <c r="B2" s="1800" t="s">
        <v>483</v>
      </c>
      <c r="C2" s="1801"/>
      <c r="D2" s="1801"/>
      <c r="E2" s="1801"/>
      <c r="F2" s="1801"/>
      <c r="G2" s="1801"/>
      <c r="H2" s="1801"/>
      <c r="I2" s="1801"/>
      <c r="J2" s="1801"/>
      <c r="K2" s="1801"/>
      <c r="L2" s="1801"/>
      <c r="M2" s="1801"/>
      <c r="N2" s="1801"/>
      <c r="O2" s="1801"/>
    </row>
    <row r="3" spans="1:35" ht="8.1" customHeight="1">
      <c r="B3" s="1242"/>
      <c r="C3" s="1242"/>
      <c r="D3" s="1242"/>
      <c r="E3" s="1242"/>
      <c r="F3" s="1242"/>
      <c r="G3" s="1242"/>
      <c r="H3" s="1242"/>
      <c r="I3" s="1242"/>
      <c r="J3" s="1242"/>
      <c r="K3" s="1242"/>
      <c r="L3" s="1242"/>
      <c r="M3" s="1242"/>
      <c r="N3" s="1242"/>
      <c r="O3" s="1242"/>
    </row>
    <row r="4" spans="1:35" ht="18" customHeight="1">
      <c r="B4" s="811"/>
      <c r="E4" s="891"/>
      <c r="F4" s="890"/>
      <c r="G4" s="3669" t="s">
        <v>847</v>
      </c>
      <c r="H4" s="3670"/>
      <c r="I4" s="3670"/>
      <c r="J4" s="3670"/>
      <c r="K4" s="3671"/>
      <c r="L4" s="1241" t="s">
        <v>848</v>
      </c>
      <c r="M4" s="1241" t="s">
        <v>849</v>
      </c>
      <c r="N4" s="1782" t="s">
        <v>850</v>
      </c>
      <c r="O4" s="2401" t="s">
        <v>851</v>
      </c>
    </row>
    <row r="5" spans="1:35" ht="20.100000000000001" customHeight="1">
      <c r="B5" s="719"/>
      <c r="C5" s="1783" t="s">
        <v>915</v>
      </c>
      <c r="D5" s="1783"/>
      <c r="E5" s="722" t="s">
        <v>229</v>
      </c>
      <c r="F5" s="723" t="s">
        <v>230</v>
      </c>
      <c r="G5" s="776" t="s">
        <v>583</v>
      </c>
      <c r="H5" s="723" t="s">
        <v>582</v>
      </c>
      <c r="I5" s="795" t="s">
        <v>581</v>
      </c>
      <c r="J5" s="796"/>
      <c r="K5" s="796"/>
      <c r="L5" s="777" t="s">
        <v>924</v>
      </c>
      <c r="M5" s="724" t="s">
        <v>925</v>
      </c>
      <c r="N5" s="724" t="s">
        <v>64</v>
      </c>
      <c r="O5" s="725" t="s">
        <v>233</v>
      </c>
      <c r="P5" s="1802" t="s">
        <v>521</v>
      </c>
      <c r="Q5" s="730"/>
      <c r="R5" s="730"/>
      <c r="S5" s="730"/>
      <c r="T5" s="1803"/>
      <c r="U5" s="727"/>
      <c r="V5" s="726" t="s">
        <v>170</v>
      </c>
      <c r="W5" s="726" t="s">
        <v>230</v>
      </c>
      <c r="X5" s="727" t="s">
        <v>231</v>
      </c>
      <c r="Y5" s="728" t="s">
        <v>232</v>
      </c>
      <c r="Z5" s="729" t="s">
        <v>889</v>
      </c>
      <c r="AA5" s="730"/>
      <c r="AB5" s="730"/>
      <c r="AC5" s="728" t="s">
        <v>248</v>
      </c>
      <c r="AD5" s="728" t="s">
        <v>249</v>
      </c>
      <c r="AE5" s="728" t="s">
        <v>64</v>
      </c>
      <c r="AF5" s="731" t="s">
        <v>233</v>
      </c>
      <c r="AG5" s="720" t="s">
        <v>940</v>
      </c>
    </row>
    <row r="6" spans="1:35" s="791" customFormat="1" ht="15.95" customHeight="1">
      <c r="B6" s="1784"/>
      <c r="C6" s="1785"/>
      <c r="D6" s="1786" t="s">
        <v>235</v>
      </c>
      <c r="E6" s="2383" t="s">
        <v>1583</v>
      </c>
      <c r="F6" s="780"/>
      <c r="G6" s="779"/>
      <c r="H6" s="780"/>
      <c r="I6" s="780"/>
      <c r="J6" s="778"/>
      <c r="K6" s="778"/>
      <c r="L6" s="780"/>
      <c r="M6" s="780"/>
      <c r="N6" s="780"/>
      <c r="O6" s="781"/>
      <c r="P6" s="1804" t="s">
        <v>522</v>
      </c>
      <c r="Q6" s="1778" t="s">
        <v>523</v>
      </c>
      <c r="R6" s="1777" t="s">
        <v>248</v>
      </c>
      <c r="S6" s="1777" t="s">
        <v>249</v>
      </c>
      <c r="T6" s="1805" t="s">
        <v>64</v>
      </c>
      <c r="U6" s="1776"/>
      <c r="V6" s="783"/>
      <c r="W6" s="783" t="s">
        <v>170</v>
      </c>
      <c r="X6" s="784" t="s">
        <v>237</v>
      </c>
      <c r="Y6" s="785"/>
      <c r="Z6" s="785"/>
      <c r="AA6" s="786"/>
      <c r="AB6" s="786"/>
      <c r="AC6" s="785"/>
      <c r="AD6" s="785"/>
      <c r="AE6" s="785"/>
      <c r="AF6" s="787"/>
      <c r="AG6" s="788"/>
      <c r="AH6" s="789"/>
      <c r="AI6" s="790"/>
    </row>
    <row r="7" spans="1:35" ht="15.95" customHeight="1">
      <c r="A7" s="883"/>
      <c r="B7" s="1787" t="s">
        <v>238</v>
      </c>
      <c r="C7" s="1788"/>
      <c r="D7" s="1788"/>
      <c r="E7" s="732"/>
      <c r="F7" s="733"/>
      <c r="G7" s="734"/>
      <c r="H7" s="733"/>
      <c r="I7" s="735"/>
      <c r="L7" s="735"/>
      <c r="M7" s="735"/>
      <c r="N7" s="735"/>
      <c r="O7" s="770"/>
      <c r="P7" s="719"/>
      <c r="Q7" s="719"/>
      <c r="R7" s="719"/>
      <c r="S7" s="719"/>
      <c r="T7" s="719"/>
      <c r="U7" s="737"/>
      <c r="V7" s="726"/>
      <c r="W7" s="736"/>
      <c r="X7" s="737"/>
      <c r="Y7" s="738"/>
      <c r="Z7" s="738"/>
      <c r="AC7" s="738"/>
      <c r="AD7" s="738"/>
      <c r="AE7" s="738"/>
      <c r="AF7" s="739"/>
    </row>
    <row r="8" spans="1:35" s="791" customFormat="1" ht="15.95" customHeight="1">
      <c r="B8" s="789" t="s">
        <v>784</v>
      </c>
      <c r="C8" s="1789" t="s">
        <v>239</v>
      </c>
      <c r="D8" s="1790">
        <v>0</v>
      </c>
      <c r="E8" s="812">
        <v>90</v>
      </c>
      <c r="F8" s="813">
        <v>70</v>
      </c>
      <c r="G8" s="814">
        <v>3.9</v>
      </c>
      <c r="H8" s="815">
        <v>2.1</v>
      </c>
      <c r="I8" s="816">
        <v>2.2000000000000002</v>
      </c>
      <c r="J8" s="817" t="s">
        <v>670</v>
      </c>
      <c r="K8" s="818">
        <v>2.7</v>
      </c>
      <c r="L8" s="819">
        <v>1.7</v>
      </c>
      <c r="M8" s="820">
        <v>7.5</v>
      </c>
      <c r="N8" s="820">
        <v>0.61</v>
      </c>
      <c r="O8" s="821">
        <v>1.5</v>
      </c>
      <c r="P8" s="1772">
        <f>G8/$L8</f>
        <v>2.2941176470588234</v>
      </c>
      <c r="Q8" s="1771">
        <f>(I8+K8)/2/L8</f>
        <v>1.4411764705882355</v>
      </c>
      <c r="R8" s="1769">
        <f>L8/$L8</f>
        <v>1</v>
      </c>
      <c r="S8" s="1769">
        <f>M8/$L8</f>
        <v>4.4117647058823533</v>
      </c>
      <c r="T8" s="1769">
        <f>N8/$L8</f>
        <v>0.35882352941176471</v>
      </c>
      <c r="U8" s="806"/>
      <c r="V8" s="822">
        <f t="shared" ref="V8:V15" si="0">IF(E8&gt;0,E8/1000,"")</f>
        <v>0.09</v>
      </c>
      <c r="W8" s="822">
        <f>IF(F8&gt;0,F8/E8,"")</f>
        <v>0.77777777777777779</v>
      </c>
      <c r="X8" s="823">
        <f>IF(G8&gt;0,G8*1000/$E8,"")</f>
        <v>43.333333333333336</v>
      </c>
      <c r="Y8" s="824">
        <f>IF(H8&gt;0,H8*1000/$E8,"")</f>
        <v>23.333333333333332</v>
      </c>
      <c r="Z8" s="825">
        <f>IF(I8&gt;0,I8*1000/$E8,"")</f>
        <v>24.444444444444443</v>
      </c>
      <c r="AA8" s="826" t="str">
        <f>IF(AB8="","","-")</f>
        <v>-</v>
      </c>
      <c r="AB8" s="827">
        <f>IF(K8&gt;0,K8*1000/$E8,"")</f>
        <v>30</v>
      </c>
      <c r="AC8" s="824">
        <f>IF(L8&gt;0,L8*1000/$E8,"")</f>
        <v>18.888888888888889</v>
      </c>
      <c r="AD8" s="824">
        <f>IF(M8&gt;0,M8*1000/$E8,"")</f>
        <v>83.333333333333329</v>
      </c>
      <c r="AE8" s="824">
        <f>IF(N8&gt;0,N8*1000/$E8,"")</f>
        <v>6.7777777777777777</v>
      </c>
      <c r="AF8" s="828">
        <f>IF(O8&gt;0,O8*1000/$E8,"")</f>
        <v>16.666666666666668</v>
      </c>
      <c r="AG8" s="788" t="s">
        <v>1577</v>
      </c>
      <c r="AH8" s="789"/>
      <c r="AI8" s="790"/>
    </row>
    <row r="9" spans="1:35" ht="13.5">
      <c r="B9" s="719"/>
      <c r="C9" s="867" t="s">
        <v>239</v>
      </c>
      <c r="D9" s="1791">
        <v>1</v>
      </c>
      <c r="E9" s="757">
        <f>E$8/(1+$D9)</f>
        <v>45</v>
      </c>
      <c r="F9" s="792">
        <f t="shared" ref="F9:O10" si="1">F$8/(1+$D9)</f>
        <v>35</v>
      </c>
      <c r="G9" s="774">
        <f t="shared" si="1"/>
        <v>1.95</v>
      </c>
      <c r="H9" s="741">
        <f t="shared" si="1"/>
        <v>1.05</v>
      </c>
      <c r="I9" s="797">
        <f t="shared" si="1"/>
        <v>1.1000000000000001</v>
      </c>
      <c r="J9" s="798" t="s">
        <v>670</v>
      </c>
      <c r="K9" s="799">
        <f t="shared" si="1"/>
        <v>1.35</v>
      </c>
      <c r="L9" s="775">
        <f t="shared" si="1"/>
        <v>0.85</v>
      </c>
      <c r="M9" s="742">
        <f t="shared" si="1"/>
        <v>3.75</v>
      </c>
      <c r="N9" s="742">
        <f t="shared" si="1"/>
        <v>0.30499999999999999</v>
      </c>
      <c r="O9" s="771">
        <f t="shared" si="1"/>
        <v>0.75</v>
      </c>
      <c r="U9" s="727"/>
      <c r="V9" s="743">
        <f t="shared" si="0"/>
        <v>4.4999999999999998E-2</v>
      </c>
      <c r="W9" s="743"/>
      <c r="X9" s="744"/>
      <c r="Y9" s="745"/>
      <c r="Z9" s="746"/>
      <c r="AA9" s="747"/>
      <c r="AB9" s="748"/>
      <c r="AC9" s="745"/>
      <c r="AD9" s="745"/>
      <c r="AE9" s="745"/>
      <c r="AF9" s="749"/>
    </row>
    <row r="10" spans="1:35" ht="13.5">
      <c r="B10" s="719"/>
      <c r="C10" s="1792" t="s">
        <v>239</v>
      </c>
      <c r="D10" s="1793">
        <v>1.5</v>
      </c>
      <c r="E10" s="758">
        <f>E$8/(1+$D10)</f>
        <v>36</v>
      </c>
      <c r="F10" s="793">
        <f t="shared" si="1"/>
        <v>28</v>
      </c>
      <c r="G10" s="803">
        <f t="shared" si="1"/>
        <v>1.56</v>
      </c>
      <c r="H10" s="760">
        <f t="shared" si="1"/>
        <v>0.84000000000000008</v>
      </c>
      <c r="I10" s="800">
        <f t="shared" si="1"/>
        <v>0.88000000000000012</v>
      </c>
      <c r="J10" s="801" t="s">
        <v>670</v>
      </c>
      <c r="K10" s="802">
        <f t="shared" si="1"/>
        <v>1.08</v>
      </c>
      <c r="L10" s="804">
        <f t="shared" si="1"/>
        <v>0.67999999999999994</v>
      </c>
      <c r="M10" s="761">
        <f t="shared" si="1"/>
        <v>3</v>
      </c>
      <c r="N10" s="761">
        <f t="shared" si="1"/>
        <v>0.24399999999999999</v>
      </c>
      <c r="O10" s="772">
        <f t="shared" si="1"/>
        <v>0.6</v>
      </c>
      <c r="P10" s="1770"/>
      <c r="Q10" s="1770"/>
      <c r="R10" s="1770"/>
      <c r="S10" s="1770"/>
      <c r="T10" s="1770"/>
      <c r="U10" s="727"/>
      <c r="V10" s="762">
        <f t="shared" si="0"/>
        <v>3.5999999999999997E-2</v>
      </c>
      <c r="W10" s="762"/>
      <c r="X10" s="763"/>
      <c r="Y10" s="764"/>
      <c r="Z10" s="765"/>
      <c r="AA10" s="766"/>
      <c r="AB10" s="767"/>
      <c r="AC10" s="764"/>
      <c r="AD10" s="764"/>
      <c r="AE10" s="764"/>
      <c r="AF10" s="768"/>
      <c r="AG10" s="769"/>
    </row>
    <row r="11" spans="1:35" s="791" customFormat="1" ht="15.95" customHeight="1">
      <c r="B11" s="789" t="s">
        <v>240</v>
      </c>
      <c r="C11" s="1789" t="s">
        <v>239</v>
      </c>
      <c r="D11" s="1790">
        <v>0</v>
      </c>
      <c r="E11" s="812">
        <v>75</v>
      </c>
      <c r="F11" s="813">
        <v>40</v>
      </c>
      <c r="G11" s="814">
        <v>4.5</v>
      </c>
      <c r="H11" s="815">
        <v>2.9</v>
      </c>
      <c r="I11" s="816">
        <v>2.9</v>
      </c>
      <c r="J11" s="817" t="s">
        <v>670</v>
      </c>
      <c r="K11" s="818">
        <v>3.8</v>
      </c>
      <c r="L11" s="819">
        <v>1.1000000000000001</v>
      </c>
      <c r="M11" s="820">
        <v>11</v>
      </c>
      <c r="N11" s="820">
        <v>0.57999999999999996</v>
      </c>
      <c r="O11" s="821">
        <v>1</v>
      </c>
      <c r="P11" s="1772">
        <f>G11/$L11</f>
        <v>4.0909090909090908</v>
      </c>
      <c r="Q11" s="1771">
        <f>(I11+K11)/2/L11</f>
        <v>3.045454545454545</v>
      </c>
      <c r="R11" s="1769">
        <f>L11/$L11</f>
        <v>1</v>
      </c>
      <c r="S11" s="1769">
        <f>M11/$L11</f>
        <v>10</v>
      </c>
      <c r="T11" s="1769">
        <f>N11/$L11</f>
        <v>0.52727272727272723</v>
      </c>
      <c r="U11" s="806"/>
      <c r="V11" s="822">
        <f t="shared" si="0"/>
        <v>7.4999999999999997E-2</v>
      </c>
      <c r="W11" s="822">
        <f>IF(F11&gt;0,F11/E11,"")</f>
        <v>0.53333333333333333</v>
      </c>
      <c r="X11" s="823">
        <f>IF(G11&gt;0,G11*1000/$E11,"")</f>
        <v>60</v>
      </c>
      <c r="Y11" s="824">
        <f>IF(H11&gt;0,H11*1000/$E11,"")</f>
        <v>38.666666666666664</v>
      </c>
      <c r="Z11" s="825">
        <f>IF(I11&gt;0,I11*1000/$E11,"")</f>
        <v>38.666666666666664</v>
      </c>
      <c r="AA11" s="826" t="str">
        <f>IF(AB11="","","-")</f>
        <v>-</v>
      </c>
      <c r="AB11" s="827">
        <f>IF(K11&gt;0,K11*1000/$E11,"")</f>
        <v>50.666666666666664</v>
      </c>
      <c r="AC11" s="824">
        <f>IF(L11&gt;0,L11*1000/$E11,"")</f>
        <v>14.666666666666666</v>
      </c>
      <c r="AD11" s="824">
        <f>IF(M11&gt;0,M11*1000/$E11,"")</f>
        <v>146.66666666666666</v>
      </c>
      <c r="AE11" s="824">
        <f>IF(N11&gt;0,N11*1000/$E11,"")</f>
        <v>7.7333333333333334</v>
      </c>
      <c r="AF11" s="828">
        <f>IF(O11&gt;0,O11*1000/$E11,"")</f>
        <v>13.333333333333334</v>
      </c>
      <c r="AG11" s="788" t="s">
        <v>1577</v>
      </c>
      <c r="AH11" s="789"/>
      <c r="AI11" s="790"/>
    </row>
    <row r="12" spans="1:35" ht="13.5">
      <c r="B12" s="719"/>
      <c r="C12" s="867" t="s">
        <v>239</v>
      </c>
      <c r="D12" s="1791">
        <v>2</v>
      </c>
      <c r="E12" s="757">
        <f>E$11/(1+$D12)</f>
        <v>25</v>
      </c>
      <c r="F12" s="792">
        <f t="shared" ref="F12:O13" si="2">F$11/(1+$D12)</f>
        <v>13.333333333333334</v>
      </c>
      <c r="G12" s="774">
        <f t="shared" si="2"/>
        <v>1.5</v>
      </c>
      <c r="H12" s="741">
        <f t="shared" si="2"/>
        <v>0.96666666666666667</v>
      </c>
      <c r="I12" s="797">
        <f t="shared" si="2"/>
        <v>0.96666666666666667</v>
      </c>
      <c r="J12" s="798" t="s">
        <v>670</v>
      </c>
      <c r="K12" s="799">
        <f t="shared" si="2"/>
        <v>1.2666666666666666</v>
      </c>
      <c r="L12" s="775">
        <f t="shared" si="2"/>
        <v>0.3666666666666667</v>
      </c>
      <c r="M12" s="742">
        <f t="shared" si="2"/>
        <v>3.6666666666666665</v>
      </c>
      <c r="N12" s="742">
        <f t="shared" si="2"/>
        <v>0.19333333333333333</v>
      </c>
      <c r="O12" s="771">
        <f t="shared" si="2"/>
        <v>0.33333333333333331</v>
      </c>
      <c r="U12" s="727"/>
      <c r="V12" s="743">
        <f t="shared" si="0"/>
        <v>2.5000000000000001E-2</v>
      </c>
      <c r="W12" s="743"/>
      <c r="X12" s="744"/>
      <c r="Y12" s="745"/>
      <c r="Z12" s="746"/>
      <c r="AA12" s="747"/>
      <c r="AB12" s="748"/>
      <c r="AC12" s="745"/>
      <c r="AD12" s="745"/>
      <c r="AE12" s="745"/>
      <c r="AF12" s="749"/>
    </row>
    <row r="13" spans="1:35" ht="13.5">
      <c r="B13" s="719"/>
      <c r="C13" s="1792" t="s">
        <v>239</v>
      </c>
      <c r="D13" s="1793">
        <v>3</v>
      </c>
      <c r="E13" s="758">
        <f>E$11/(1+$D13)</f>
        <v>18.75</v>
      </c>
      <c r="F13" s="793">
        <f t="shared" si="2"/>
        <v>10</v>
      </c>
      <c r="G13" s="803">
        <f t="shared" si="2"/>
        <v>1.125</v>
      </c>
      <c r="H13" s="760">
        <f t="shared" si="2"/>
        <v>0.72499999999999998</v>
      </c>
      <c r="I13" s="800">
        <f t="shared" si="2"/>
        <v>0.72499999999999998</v>
      </c>
      <c r="J13" s="801" t="s">
        <v>670</v>
      </c>
      <c r="K13" s="802">
        <f t="shared" si="2"/>
        <v>0.95</v>
      </c>
      <c r="L13" s="804">
        <f t="shared" si="2"/>
        <v>0.27500000000000002</v>
      </c>
      <c r="M13" s="761">
        <f t="shared" si="2"/>
        <v>2.75</v>
      </c>
      <c r="N13" s="761">
        <f t="shared" si="2"/>
        <v>0.14499999999999999</v>
      </c>
      <c r="O13" s="772">
        <f t="shared" si="2"/>
        <v>0.25</v>
      </c>
      <c r="P13" s="1770"/>
      <c r="Q13" s="1770"/>
      <c r="R13" s="1770"/>
      <c r="S13" s="1770"/>
      <c r="T13" s="1770"/>
      <c r="U13" s="727"/>
      <c r="V13" s="762">
        <f t="shared" si="0"/>
        <v>1.8749999999999999E-2</v>
      </c>
      <c r="W13" s="762"/>
      <c r="X13" s="763"/>
      <c r="Y13" s="764"/>
      <c r="Z13" s="765"/>
      <c r="AA13" s="766"/>
      <c r="AB13" s="767"/>
      <c r="AC13" s="764"/>
      <c r="AD13" s="764"/>
      <c r="AE13" s="764"/>
      <c r="AF13" s="768"/>
      <c r="AG13" s="769"/>
    </row>
    <row r="14" spans="1:35" s="791" customFormat="1" ht="15.95" customHeight="1">
      <c r="B14" s="789" t="s">
        <v>241</v>
      </c>
      <c r="C14" s="1789"/>
      <c r="D14" s="1790"/>
      <c r="E14" s="812">
        <v>190</v>
      </c>
      <c r="F14" s="813">
        <v>150</v>
      </c>
      <c r="G14" s="814">
        <v>4.5</v>
      </c>
      <c r="H14" s="815">
        <v>0.7</v>
      </c>
      <c r="I14" s="816">
        <v>0.9</v>
      </c>
      <c r="J14" s="817" t="s">
        <v>670</v>
      </c>
      <c r="K14" s="818">
        <v>1.8</v>
      </c>
      <c r="L14" s="819">
        <v>3</v>
      </c>
      <c r="M14" s="820">
        <v>6.1</v>
      </c>
      <c r="N14" s="820">
        <v>0.93</v>
      </c>
      <c r="O14" s="821">
        <v>3</v>
      </c>
      <c r="P14" s="1772">
        <f>G14/$L14</f>
        <v>1.5</v>
      </c>
      <c r="Q14" s="1771">
        <f>(I14+K14)/2/L14</f>
        <v>0.45</v>
      </c>
      <c r="R14" s="1769">
        <f t="shared" ref="R14:T15" si="3">L14/$L14</f>
        <v>1</v>
      </c>
      <c r="S14" s="1769">
        <f t="shared" si="3"/>
        <v>2.0333333333333332</v>
      </c>
      <c r="T14" s="1769">
        <f t="shared" si="3"/>
        <v>0.31</v>
      </c>
      <c r="U14" s="806"/>
      <c r="V14" s="822">
        <f t="shared" si="0"/>
        <v>0.19</v>
      </c>
      <c r="W14" s="822">
        <f>IF(F14&gt;0,F14/E14,"")</f>
        <v>0.78947368421052633</v>
      </c>
      <c r="X14" s="823">
        <f t="shared" ref="X14:Z15" si="4">IF(G14&gt;0,G14*1000/$E14,"")</f>
        <v>23.684210526315791</v>
      </c>
      <c r="Y14" s="824">
        <f t="shared" si="4"/>
        <v>3.6842105263157894</v>
      </c>
      <c r="Z14" s="825">
        <f t="shared" si="4"/>
        <v>4.7368421052631575</v>
      </c>
      <c r="AA14" s="826" t="str">
        <f>IF(AB14="","","-")</f>
        <v>-</v>
      </c>
      <c r="AB14" s="827">
        <f t="shared" ref="AB14:AF15" si="5">IF(K14&gt;0,K14*1000/$E14,"")</f>
        <v>9.473684210526315</v>
      </c>
      <c r="AC14" s="824">
        <f t="shared" si="5"/>
        <v>15.789473684210526</v>
      </c>
      <c r="AD14" s="824">
        <f t="shared" si="5"/>
        <v>32.10526315789474</v>
      </c>
      <c r="AE14" s="824">
        <f t="shared" si="5"/>
        <v>4.8947368421052628</v>
      </c>
      <c r="AF14" s="828">
        <f t="shared" si="5"/>
        <v>15.789473684210526</v>
      </c>
      <c r="AG14" s="788" t="s">
        <v>1577</v>
      </c>
      <c r="AH14" s="789"/>
      <c r="AI14" s="790"/>
    </row>
    <row r="15" spans="1:35" s="791" customFormat="1" ht="15.95" customHeight="1">
      <c r="B15" s="789" t="s">
        <v>796</v>
      </c>
      <c r="C15" s="1789"/>
      <c r="D15" s="1790"/>
      <c r="E15" s="812">
        <v>210</v>
      </c>
      <c r="F15" s="813">
        <v>175</v>
      </c>
      <c r="G15" s="814">
        <v>4.9000000000000004</v>
      </c>
      <c r="H15" s="815">
        <v>1.2</v>
      </c>
      <c r="I15" s="816">
        <v>1.2</v>
      </c>
      <c r="J15" s="817" t="s">
        <v>670</v>
      </c>
      <c r="K15" s="818">
        <v>2.5</v>
      </c>
      <c r="L15" s="819">
        <v>2.2000000000000002</v>
      </c>
      <c r="M15" s="820">
        <v>10</v>
      </c>
      <c r="N15" s="820">
        <v>0.82</v>
      </c>
      <c r="O15" s="821">
        <v>2.2000000000000002</v>
      </c>
      <c r="P15" s="1772">
        <f>G15/$L15</f>
        <v>2.2272727272727271</v>
      </c>
      <c r="Q15" s="1771">
        <f>(I15+K15)/2/L15</f>
        <v>0.84090909090909083</v>
      </c>
      <c r="R15" s="1769">
        <f t="shared" si="3"/>
        <v>1</v>
      </c>
      <c r="S15" s="1769">
        <f t="shared" si="3"/>
        <v>4.545454545454545</v>
      </c>
      <c r="T15" s="1769">
        <f t="shared" si="3"/>
        <v>0.37272727272727268</v>
      </c>
      <c r="U15" s="806"/>
      <c r="V15" s="822">
        <f t="shared" si="0"/>
        <v>0.21</v>
      </c>
      <c r="W15" s="822">
        <f>IF(F15&gt;0,F15/E15,"")</f>
        <v>0.83333333333333337</v>
      </c>
      <c r="X15" s="823">
        <f t="shared" si="4"/>
        <v>23.333333333333332</v>
      </c>
      <c r="Y15" s="824">
        <f t="shared" si="4"/>
        <v>5.7142857142857144</v>
      </c>
      <c r="Z15" s="825">
        <f t="shared" si="4"/>
        <v>5.7142857142857144</v>
      </c>
      <c r="AA15" s="826" t="str">
        <f>IF(AB15="","","-")</f>
        <v>-</v>
      </c>
      <c r="AB15" s="827">
        <f t="shared" si="5"/>
        <v>11.904761904761905</v>
      </c>
      <c r="AC15" s="824">
        <f t="shared" si="5"/>
        <v>10.476190476190476</v>
      </c>
      <c r="AD15" s="824">
        <f t="shared" si="5"/>
        <v>47.61904761904762</v>
      </c>
      <c r="AE15" s="824">
        <f t="shared" si="5"/>
        <v>3.9047619047619047</v>
      </c>
      <c r="AF15" s="828">
        <f t="shared" si="5"/>
        <v>10.476190476190476</v>
      </c>
      <c r="AG15" s="788" t="s">
        <v>1577</v>
      </c>
      <c r="AH15" s="789"/>
      <c r="AI15" s="790"/>
    </row>
    <row r="16" spans="1:35" ht="13.5">
      <c r="B16" s="719"/>
      <c r="C16" s="867"/>
      <c r="D16" s="752"/>
      <c r="E16" s="794"/>
      <c r="F16" s="794"/>
      <c r="G16" s="807"/>
      <c r="H16" s="753"/>
      <c r="I16" s="754"/>
      <c r="J16" s="808"/>
      <c r="K16" s="809"/>
      <c r="L16" s="755"/>
      <c r="M16" s="755"/>
      <c r="N16" s="755"/>
      <c r="O16" s="773"/>
      <c r="V16" s="726"/>
      <c r="W16" s="736"/>
      <c r="X16" s="737"/>
      <c r="Y16" s="738"/>
      <c r="Z16" s="750"/>
      <c r="AA16" s="751"/>
      <c r="AB16" s="752"/>
      <c r="AC16" s="738"/>
      <c r="AD16" s="738"/>
      <c r="AE16" s="738"/>
      <c r="AF16" s="739"/>
    </row>
    <row r="17" spans="2:35" ht="15.95" customHeight="1">
      <c r="B17" s="1787" t="s">
        <v>242</v>
      </c>
      <c r="C17" s="867"/>
      <c r="D17" s="752"/>
      <c r="E17" s="794"/>
      <c r="F17" s="794"/>
      <c r="G17" s="807"/>
      <c r="H17" s="753"/>
      <c r="I17" s="754"/>
      <c r="J17" s="808"/>
      <c r="K17" s="809"/>
      <c r="L17" s="755"/>
      <c r="M17" s="755"/>
      <c r="N17" s="755"/>
      <c r="O17" s="773"/>
      <c r="V17" s="726"/>
      <c r="W17" s="736"/>
      <c r="X17" s="737"/>
      <c r="Y17" s="738"/>
      <c r="Z17" s="750"/>
      <c r="AA17" s="751"/>
      <c r="AB17" s="752"/>
      <c r="AC17" s="738"/>
      <c r="AD17" s="738"/>
      <c r="AE17" s="738"/>
      <c r="AF17" s="739"/>
    </row>
    <row r="18" spans="2:35" s="791" customFormat="1" ht="15.95" customHeight="1">
      <c r="B18" s="789" t="s">
        <v>784</v>
      </c>
      <c r="C18" s="1789" t="s">
        <v>239</v>
      </c>
      <c r="D18" s="1790">
        <v>0</v>
      </c>
      <c r="E18" s="812">
        <v>90</v>
      </c>
      <c r="F18" s="813">
        <v>65</v>
      </c>
      <c r="G18" s="814">
        <v>3.5</v>
      </c>
      <c r="H18" s="815">
        <v>2.1</v>
      </c>
      <c r="I18" s="816">
        <v>1.8</v>
      </c>
      <c r="J18" s="817" t="s">
        <v>670</v>
      </c>
      <c r="K18" s="818">
        <v>2.5</v>
      </c>
      <c r="L18" s="819">
        <v>1.4</v>
      </c>
      <c r="M18" s="820">
        <v>3.4</v>
      </c>
      <c r="N18" s="820">
        <v>0.6</v>
      </c>
      <c r="O18" s="821">
        <v>1.2</v>
      </c>
      <c r="P18" s="1772">
        <f>G18/$L18</f>
        <v>2.5</v>
      </c>
      <c r="Q18" s="1771">
        <f>(I18+K18)/2/L18</f>
        <v>1.5357142857142858</v>
      </c>
      <c r="R18" s="1769">
        <f>L18/$L18</f>
        <v>1</v>
      </c>
      <c r="S18" s="1769">
        <f>M18/$L18</f>
        <v>2.4285714285714288</v>
      </c>
      <c r="T18" s="1769">
        <f>N18/$L18</f>
        <v>0.4285714285714286</v>
      </c>
      <c r="U18" s="806"/>
      <c r="V18" s="822">
        <f>IF(E18&gt;0,E18/1000,"")</f>
        <v>0.09</v>
      </c>
      <c r="W18" s="822">
        <f>IF(F18&gt;0,F18/E18,"")</f>
        <v>0.72222222222222221</v>
      </c>
      <c r="X18" s="823">
        <f>IF(G18&gt;0,G18*1000/$E18,"")</f>
        <v>38.888888888888886</v>
      </c>
      <c r="Y18" s="824">
        <f>IF(H18&gt;0,H18*1000/$E18,"")</f>
        <v>23.333333333333332</v>
      </c>
      <c r="Z18" s="825">
        <f>IF(I18&gt;0,I18*1000/$E18,"")</f>
        <v>20</v>
      </c>
      <c r="AA18" s="826" t="str">
        <f>IF(AB18="","","-")</f>
        <v>-</v>
      </c>
      <c r="AB18" s="827">
        <f>IF(K18&gt;0,K18*1000/$E18,"")</f>
        <v>27.777777777777779</v>
      </c>
      <c r="AC18" s="824">
        <f>IF(L18&gt;0,L18*1000/$E18,"")</f>
        <v>15.555555555555555</v>
      </c>
      <c r="AD18" s="824">
        <f>IF(M18&gt;0,M18*1000/$E18,"")</f>
        <v>37.777777777777779</v>
      </c>
      <c r="AE18" s="824">
        <f>IF(N18&gt;0,N18*1000/$E18,"")</f>
        <v>6.666666666666667</v>
      </c>
      <c r="AF18" s="828">
        <f>IF(O18&gt;0,O18*1000/$E18,"")</f>
        <v>13.333333333333334</v>
      </c>
      <c r="AG18" s="788" t="s">
        <v>1871</v>
      </c>
      <c r="AH18" s="789"/>
      <c r="AI18" s="790"/>
    </row>
    <row r="19" spans="2:35" ht="13.5">
      <c r="B19" s="719"/>
      <c r="C19" s="867" t="s">
        <v>239</v>
      </c>
      <c r="D19" s="1791">
        <v>1</v>
      </c>
      <c r="E19" s="757">
        <f>E$18/(1+$D19)</f>
        <v>45</v>
      </c>
      <c r="F19" s="792">
        <f t="shared" ref="F19:O20" si="6">F$18/(1+$D19)</f>
        <v>32.5</v>
      </c>
      <c r="G19" s="774">
        <f t="shared" si="6"/>
        <v>1.75</v>
      </c>
      <c r="H19" s="741">
        <f t="shared" si="6"/>
        <v>1.05</v>
      </c>
      <c r="I19" s="797">
        <f t="shared" si="6"/>
        <v>0.9</v>
      </c>
      <c r="J19" s="798" t="s">
        <v>670</v>
      </c>
      <c r="K19" s="799">
        <f t="shared" si="6"/>
        <v>1.25</v>
      </c>
      <c r="L19" s="775">
        <f t="shared" si="6"/>
        <v>0.7</v>
      </c>
      <c r="M19" s="742">
        <f t="shared" si="6"/>
        <v>1.7</v>
      </c>
      <c r="N19" s="742">
        <f t="shared" si="6"/>
        <v>0.3</v>
      </c>
      <c r="O19" s="771">
        <f t="shared" si="6"/>
        <v>0.6</v>
      </c>
      <c r="U19" s="727"/>
      <c r="V19" s="743">
        <f>IF(E19&gt;0,E19/1000,"")</f>
        <v>4.4999999999999998E-2</v>
      </c>
      <c r="W19" s="743"/>
      <c r="X19" s="744"/>
      <c r="Y19" s="745"/>
      <c r="Z19" s="746"/>
      <c r="AA19" s="747"/>
      <c r="AB19" s="748"/>
      <c r="AC19" s="745"/>
      <c r="AD19" s="745"/>
      <c r="AE19" s="745"/>
      <c r="AF19" s="749"/>
    </row>
    <row r="20" spans="2:35" ht="13.5">
      <c r="B20" s="719"/>
      <c r="C20" s="1792" t="s">
        <v>239</v>
      </c>
      <c r="D20" s="1793">
        <v>1.5</v>
      </c>
      <c r="E20" s="758">
        <f>E$18/(1+$D20)</f>
        <v>36</v>
      </c>
      <c r="F20" s="793">
        <f t="shared" si="6"/>
        <v>26</v>
      </c>
      <c r="G20" s="803">
        <f t="shared" si="6"/>
        <v>1.4</v>
      </c>
      <c r="H20" s="760">
        <f t="shared" si="6"/>
        <v>0.84000000000000008</v>
      </c>
      <c r="I20" s="800">
        <f t="shared" si="6"/>
        <v>0.72</v>
      </c>
      <c r="J20" s="801" t="s">
        <v>670</v>
      </c>
      <c r="K20" s="802">
        <f t="shared" si="6"/>
        <v>1</v>
      </c>
      <c r="L20" s="804">
        <f t="shared" si="6"/>
        <v>0.55999999999999994</v>
      </c>
      <c r="M20" s="761">
        <f t="shared" si="6"/>
        <v>1.3599999999999999</v>
      </c>
      <c r="N20" s="761">
        <f t="shared" si="6"/>
        <v>0.24</v>
      </c>
      <c r="O20" s="772">
        <f t="shared" si="6"/>
        <v>0.48</v>
      </c>
      <c r="P20" s="1770"/>
      <c r="Q20" s="1770"/>
      <c r="R20" s="1770"/>
      <c r="S20" s="1770"/>
      <c r="T20" s="1770"/>
      <c r="U20" s="727"/>
      <c r="V20" s="762">
        <f>IF(E20&gt;0,E20/1000,"")</f>
        <v>3.5999999999999997E-2</v>
      </c>
      <c r="W20" s="762"/>
      <c r="X20" s="763"/>
      <c r="Y20" s="764"/>
      <c r="Z20" s="765"/>
      <c r="AA20" s="766"/>
      <c r="AB20" s="767"/>
      <c r="AC20" s="764"/>
      <c r="AD20" s="764"/>
      <c r="AE20" s="764"/>
      <c r="AF20" s="768"/>
      <c r="AG20" s="769"/>
    </row>
    <row r="21" spans="2:35" s="791" customFormat="1" ht="15.95" customHeight="1">
      <c r="B21" s="789" t="s">
        <v>796</v>
      </c>
      <c r="C21" s="1789"/>
      <c r="D21" s="1790"/>
      <c r="E21" s="812">
        <v>210</v>
      </c>
      <c r="F21" s="813">
        <v>155</v>
      </c>
      <c r="G21" s="814">
        <v>4.7</v>
      </c>
      <c r="H21" s="815">
        <v>1</v>
      </c>
      <c r="I21" s="816">
        <v>1.2</v>
      </c>
      <c r="J21" s="817" t="s">
        <v>670</v>
      </c>
      <c r="K21" s="818">
        <v>2.4</v>
      </c>
      <c r="L21" s="819">
        <v>1.8</v>
      </c>
      <c r="M21" s="820">
        <v>7.4</v>
      </c>
      <c r="N21" s="820">
        <v>0.8</v>
      </c>
      <c r="O21" s="821">
        <v>1.5</v>
      </c>
      <c r="P21" s="1772">
        <f>G21/$L21</f>
        <v>2.6111111111111112</v>
      </c>
      <c r="Q21" s="1771">
        <f>(I21+K21)/2/L21</f>
        <v>0.99999999999999989</v>
      </c>
      <c r="R21" s="1769">
        <f>L21/$L21</f>
        <v>1</v>
      </c>
      <c r="S21" s="1769">
        <f>M21/$L21</f>
        <v>4.1111111111111116</v>
      </c>
      <c r="T21" s="1769">
        <f>N21/$L21</f>
        <v>0.44444444444444448</v>
      </c>
      <c r="U21" s="806"/>
      <c r="V21" s="822">
        <f>IF(E21&gt;0,E21/1000,"")</f>
        <v>0.21</v>
      </c>
      <c r="W21" s="822">
        <f>IF(F21&gt;0,F21/E21,"")</f>
        <v>0.73809523809523814</v>
      </c>
      <c r="X21" s="823">
        <f>IF(G21&gt;0,G21*1000/$E21,"")</f>
        <v>22.38095238095238</v>
      </c>
      <c r="Y21" s="824">
        <f>IF(H21&gt;0,H21*1000/$E21,"")</f>
        <v>4.7619047619047619</v>
      </c>
      <c r="Z21" s="825">
        <f>IF(I21&gt;0,I21*1000/$E21,"")</f>
        <v>5.7142857142857144</v>
      </c>
      <c r="AA21" s="826" t="str">
        <f>IF(AB21="","","-")</f>
        <v>-</v>
      </c>
      <c r="AB21" s="827">
        <f>IF(K21&gt;0,K21*1000/$E21,"")</f>
        <v>11.428571428571429</v>
      </c>
      <c r="AC21" s="824">
        <f>IF(L21&gt;0,L21*1000/$E21,"")</f>
        <v>8.5714285714285712</v>
      </c>
      <c r="AD21" s="824">
        <f>IF(M21&gt;0,M21*1000/$E21,"")</f>
        <v>35.238095238095241</v>
      </c>
      <c r="AE21" s="824">
        <f>IF(N21&gt;0,N21*1000/$E21,"")</f>
        <v>3.8095238095238093</v>
      </c>
      <c r="AF21" s="828">
        <f>IF(O21&gt;0,O21*1000/$E21,"")</f>
        <v>7.1428571428571432</v>
      </c>
      <c r="AG21" s="788" t="s">
        <v>1871</v>
      </c>
      <c r="AH21" s="789"/>
      <c r="AI21" s="790"/>
    </row>
    <row r="22" spans="2:35" ht="13.5">
      <c r="B22" s="719"/>
      <c r="C22" s="867"/>
      <c r="D22" s="752"/>
      <c r="E22" s="794"/>
      <c r="F22" s="794"/>
      <c r="G22" s="807"/>
      <c r="H22" s="753"/>
      <c r="I22" s="754"/>
      <c r="J22" s="808"/>
      <c r="K22" s="809"/>
      <c r="L22" s="755"/>
      <c r="M22" s="755"/>
      <c r="N22" s="755"/>
      <c r="O22" s="773"/>
      <c r="V22" s="726"/>
      <c r="W22" s="736"/>
      <c r="X22" s="737"/>
      <c r="Y22" s="738"/>
      <c r="Z22" s="750"/>
      <c r="AA22" s="751"/>
      <c r="AB22" s="752"/>
      <c r="AC22" s="738"/>
      <c r="AD22" s="738"/>
      <c r="AE22" s="738"/>
      <c r="AF22" s="739"/>
    </row>
    <row r="23" spans="2:35" ht="15.95" customHeight="1">
      <c r="B23" s="1787" t="s">
        <v>775</v>
      </c>
      <c r="C23" s="719"/>
      <c r="D23" s="719"/>
      <c r="E23" s="794"/>
      <c r="F23" s="794"/>
      <c r="G23" s="807"/>
      <c r="I23" s="754"/>
      <c r="J23" s="810"/>
      <c r="K23" s="754"/>
      <c r="L23" s="755"/>
      <c r="M23" s="755"/>
      <c r="N23" s="755"/>
      <c r="O23" s="773"/>
      <c r="V23" s="726"/>
      <c r="W23" s="736"/>
      <c r="X23" s="737"/>
      <c r="Y23" s="738"/>
      <c r="Z23" s="750"/>
      <c r="AA23" s="751"/>
      <c r="AB23" s="752"/>
      <c r="AC23" s="738"/>
      <c r="AD23" s="738"/>
      <c r="AE23" s="738"/>
      <c r="AF23" s="739"/>
    </row>
    <row r="24" spans="2:35" ht="15.95" customHeight="1">
      <c r="B24" s="719" t="s">
        <v>243</v>
      </c>
      <c r="C24" s="867" t="s">
        <v>239</v>
      </c>
      <c r="D24" s="752">
        <v>0</v>
      </c>
      <c r="E24" s="757">
        <v>50</v>
      </c>
      <c r="F24" s="792">
        <v>36</v>
      </c>
      <c r="G24" s="774">
        <v>6.5</v>
      </c>
      <c r="H24" s="723">
        <v>4.5999999999999996</v>
      </c>
      <c r="I24" s="797">
        <v>3.3</v>
      </c>
      <c r="J24" s="798" t="s">
        <v>670</v>
      </c>
      <c r="K24" s="799">
        <v>4.5999999999999996</v>
      </c>
      <c r="L24" s="775">
        <v>3.2</v>
      </c>
      <c r="M24" s="742">
        <v>3.6</v>
      </c>
      <c r="N24" s="742">
        <v>0.88</v>
      </c>
      <c r="O24" s="771">
        <v>2.1</v>
      </c>
      <c r="P24" s="1772">
        <f>G24/$L24</f>
        <v>2.03125</v>
      </c>
      <c r="Q24" s="1771">
        <f>(I24+K24)/2/L24</f>
        <v>1.2343749999999998</v>
      </c>
      <c r="R24" s="1769">
        <f>L24/$L24</f>
        <v>1</v>
      </c>
      <c r="S24" s="1769">
        <f>M24/$L24</f>
        <v>1.125</v>
      </c>
      <c r="T24" s="1769">
        <f>N24/$L24</f>
        <v>0.27499999999999997</v>
      </c>
      <c r="U24" s="727"/>
      <c r="V24" s="743">
        <f t="shared" ref="V24:V30" si="7">IF(E24&gt;0,E24/1000,"")</f>
        <v>0.05</v>
      </c>
      <c r="W24" s="743">
        <f>IF(F24&gt;0,F24/E24,"")</f>
        <v>0.72</v>
      </c>
      <c r="X24" s="744">
        <f>IF(G24&gt;0,G24*1000/$E24,"")</f>
        <v>130</v>
      </c>
      <c r="Y24" s="745">
        <f>IF(H24&gt;0,H24*1000/$E24,"")</f>
        <v>92</v>
      </c>
      <c r="Z24" s="746">
        <f>IF(I24&gt;0,I24*1000/$E24,"")</f>
        <v>66</v>
      </c>
      <c r="AA24" s="747" t="str">
        <f t="shared" ref="AA24:AA30" si="8">IF(AB24="","","-")</f>
        <v>-</v>
      </c>
      <c r="AB24" s="748">
        <f>IF(K24&gt;0,K24*1000/$E24,"")</f>
        <v>92</v>
      </c>
      <c r="AC24" s="745">
        <f>IF(L24&gt;0,L24*1000/$E24,"")</f>
        <v>64</v>
      </c>
      <c r="AD24" s="745">
        <f>IF(M24&gt;0,M24*1000/$E24,"")</f>
        <v>72</v>
      </c>
      <c r="AE24" s="745">
        <f>IF(N24&gt;0,N24*1000/$E24,"")</f>
        <v>17.600000000000001</v>
      </c>
      <c r="AF24" s="749">
        <f>IF(O24&gt;0,O24*1000/$E24,"")</f>
        <v>42</v>
      </c>
      <c r="AG24" s="720" t="s">
        <v>1577</v>
      </c>
    </row>
    <row r="25" spans="2:35" ht="13.5">
      <c r="B25" s="719"/>
      <c r="C25" s="867" t="s">
        <v>239</v>
      </c>
      <c r="D25" s="1791">
        <v>0.5</v>
      </c>
      <c r="E25" s="757">
        <f>E$24/(1+$D25)</f>
        <v>33.333333333333336</v>
      </c>
      <c r="F25" s="792">
        <f t="shared" ref="F25:O26" si="9">F$24/(1+$D25)</f>
        <v>24</v>
      </c>
      <c r="G25" s="774">
        <f t="shared" si="9"/>
        <v>4.333333333333333</v>
      </c>
      <c r="H25" s="723">
        <f t="shared" si="9"/>
        <v>3.0666666666666664</v>
      </c>
      <c r="I25" s="797">
        <f t="shared" si="9"/>
        <v>2.1999999999999997</v>
      </c>
      <c r="J25" s="798" t="s">
        <v>670</v>
      </c>
      <c r="K25" s="799">
        <f t="shared" si="9"/>
        <v>3.0666666666666664</v>
      </c>
      <c r="L25" s="775">
        <f t="shared" si="9"/>
        <v>2.1333333333333333</v>
      </c>
      <c r="M25" s="742">
        <f t="shared" si="9"/>
        <v>2.4</v>
      </c>
      <c r="N25" s="742">
        <f t="shared" si="9"/>
        <v>0.58666666666666667</v>
      </c>
      <c r="O25" s="771">
        <f t="shared" si="9"/>
        <v>1.4000000000000001</v>
      </c>
      <c r="U25" s="727"/>
      <c r="V25" s="743">
        <f t="shared" si="7"/>
        <v>3.3333333333333333E-2</v>
      </c>
      <c r="W25" s="743"/>
      <c r="X25" s="744"/>
      <c r="Y25" s="745"/>
      <c r="Z25" s="746"/>
      <c r="AA25" s="747"/>
      <c r="AB25" s="748"/>
      <c r="AC25" s="745"/>
      <c r="AD25" s="745"/>
      <c r="AE25" s="745"/>
      <c r="AF25" s="749"/>
    </row>
    <row r="26" spans="2:35" ht="13.5">
      <c r="B26" s="719"/>
      <c r="C26" s="1792" t="s">
        <v>239</v>
      </c>
      <c r="D26" s="1793">
        <v>0.75</v>
      </c>
      <c r="E26" s="758">
        <f>E$24/(1+$D26)</f>
        <v>28.571428571428573</v>
      </c>
      <c r="F26" s="793">
        <f t="shared" si="9"/>
        <v>20.571428571428573</v>
      </c>
      <c r="G26" s="803">
        <f t="shared" si="9"/>
        <v>3.7142857142857144</v>
      </c>
      <c r="H26" s="759">
        <f t="shared" si="9"/>
        <v>2.6285714285714286</v>
      </c>
      <c r="I26" s="800">
        <f t="shared" si="9"/>
        <v>1.8857142857142857</v>
      </c>
      <c r="J26" s="801" t="s">
        <v>670</v>
      </c>
      <c r="K26" s="802">
        <f t="shared" si="9"/>
        <v>2.6285714285714286</v>
      </c>
      <c r="L26" s="804">
        <f t="shared" si="9"/>
        <v>1.8285714285714287</v>
      </c>
      <c r="M26" s="761">
        <f t="shared" si="9"/>
        <v>2.0571428571428574</v>
      </c>
      <c r="N26" s="761">
        <f t="shared" si="9"/>
        <v>0.50285714285714289</v>
      </c>
      <c r="O26" s="772">
        <f t="shared" si="9"/>
        <v>1.2</v>
      </c>
      <c r="P26" s="1770"/>
      <c r="Q26" s="1770"/>
      <c r="R26" s="1770"/>
      <c r="S26" s="1770"/>
      <c r="T26" s="1770"/>
      <c r="U26" s="727"/>
      <c r="V26" s="762">
        <f t="shared" si="7"/>
        <v>2.8571428571428574E-2</v>
      </c>
      <c r="W26" s="762"/>
      <c r="X26" s="763"/>
      <c r="Y26" s="764"/>
      <c r="Z26" s="765"/>
      <c r="AA26" s="766"/>
      <c r="AB26" s="767"/>
      <c r="AC26" s="764"/>
      <c r="AD26" s="764"/>
      <c r="AE26" s="764"/>
      <c r="AF26" s="768"/>
      <c r="AG26" s="769"/>
    </row>
    <row r="27" spans="2:35" ht="15.95" customHeight="1">
      <c r="B27" s="719" t="s">
        <v>244</v>
      </c>
      <c r="C27" s="867" t="s">
        <v>239</v>
      </c>
      <c r="D27" s="752">
        <v>0</v>
      </c>
      <c r="E27" s="757">
        <v>50</v>
      </c>
      <c r="F27" s="792">
        <v>33</v>
      </c>
      <c r="G27" s="774">
        <v>4.7</v>
      </c>
      <c r="H27" s="723">
        <v>3.3</v>
      </c>
      <c r="I27" s="797">
        <v>2.4</v>
      </c>
      <c r="J27" s="798" t="s">
        <v>670</v>
      </c>
      <c r="K27" s="799">
        <v>3.4</v>
      </c>
      <c r="L27" s="775">
        <v>2.7</v>
      </c>
      <c r="M27" s="742">
        <v>3</v>
      </c>
      <c r="N27" s="742">
        <v>0.56000000000000005</v>
      </c>
      <c r="O27" s="771">
        <v>1.5</v>
      </c>
      <c r="P27" s="1772">
        <f>G27/$L27</f>
        <v>1.7407407407407407</v>
      </c>
      <c r="Q27" s="1771">
        <f>(I27+K27)/2/L27</f>
        <v>1.074074074074074</v>
      </c>
      <c r="R27" s="1769">
        <f>L27/$L27</f>
        <v>1</v>
      </c>
      <c r="S27" s="1769">
        <f>M27/$L27</f>
        <v>1.1111111111111109</v>
      </c>
      <c r="T27" s="1769">
        <f>N27/$L27</f>
        <v>0.2074074074074074</v>
      </c>
      <c r="U27" s="727"/>
      <c r="V27" s="743">
        <f t="shared" si="7"/>
        <v>0.05</v>
      </c>
      <c r="W27" s="743">
        <f>IF(F27&gt;0,F27/E27,"")</f>
        <v>0.66</v>
      </c>
      <c r="X27" s="744">
        <f>IF(G27&gt;0,G27*1000/$E27,"")</f>
        <v>94</v>
      </c>
      <c r="Y27" s="745">
        <f>IF(H27&gt;0,H27*1000/$E27,"")</f>
        <v>66</v>
      </c>
      <c r="Z27" s="746">
        <f>IF(I27&gt;0,I27*1000/$E27,"")</f>
        <v>48</v>
      </c>
      <c r="AA27" s="747" t="str">
        <f t="shared" si="8"/>
        <v>-</v>
      </c>
      <c r="AB27" s="748">
        <f>IF(K27&gt;0,K27*1000/$E27,"")</f>
        <v>68</v>
      </c>
      <c r="AC27" s="745">
        <f>IF(L27&gt;0,L27*1000/$E27,"")</f>
        <v>54</v>
      </c>
      <c r="AD27" s="745">
        <f>IF(M27&gt;0,M27*1000/$E27,"")</f>
        <v>60</v>
      </c>
      <c r="AE27" s="745">
        <f>IF(N27&gt;0,N27*1000/$E27,"")</f>
        <v>11.2</v>
      </c>
      <c r="AF27" s="749">
        <f>IF(O27&gt;0,O27*1000/$E27,"")</f>
        <v>30</v>
      </c>
      <c r="AG27" s="720" t="s">
        <v>1577</v>
      </c>
    </row>
    <row r="28" spans="2:35" ht="13.5">
      <c r="B28" s="719"/>
      <c r="C28" s="867" t="s">
        <v>239</v>
      </c>
      <c r="D28" s="1791">
        <v>0.5</v>
      </c>
      <c r="E28" s="757">
        <f>E$27/(1+$D28)</f>
        <v>33.333333333333336</v>
      </c>
      <c r="F28" s="792">
        <f t="shared" ref="F28:O29" si="10">F$27/(1+$D28)</f>
        <v>22</v>
      </c>
      <c r="G28" s="774">
        <f t="shared" si="10"/>
        <v>3.1333333333333333</v>
      </c>
      <c r="H28" s="723">
        <f t="shared" si="10"/>
        <v>2.1999999999999997</v>
      </c>
      <c r="I28" s="797">
        <f t="shared" si="10"/>
        <v>1.5999999999999999</v>
      </c>
      <c r="J28" s="798" t="s">
        <v>670</v>
      </c>
      <c r="K28" s="799">
        <f t="shared" si="10"/>
        <v>2.2666666666666666</v>
      </c>
      <c r="L28" s="775">
        <f t="shared" si="10"/>
        <v>1.8</v>
      </c>
      <c r="M28" s="742">
        <f t="shared" si="10"/>
        <v>2</v>
      </c>
      <c r="N28" s="742">
        <f t="shared" si="10"/>
        <v>0.37333333333333335</v>
      </c>
      <c r="O28" s="771">
        <f t="shared" si="10"/>
        <v>1</v>
      </c>
      <c r="U28" s="727"/>
      <c r="V28" s="743">
        <f t="shared" si="7"/>
        <v>3.3333333333333333E-2</v>
      </c>
      <c r="W28" s="743"/>
      <c r="X28" s="744"/>
      <c r="Y28" s="745"/>
      <c r="Z28" s="746"/>
      <c r="AA28" s="747"/>
      <c r="AB28" s="748"/>
      <c r="AC28" s="745"/>
      <c r="AD28" s="745"/>
      <c r="AE28" s="745"/>
      <c r="AF28" s="749"/>
    </row>
    <row r="29" spans="2:35" ht="13.5">
      <c r="B29" s="719"/>
      <c r="C29" s="1792" t="s">
        <v>239</v>
      </c>
      <c r="D29" s="1793">
        <v>0.75</v>
      </c>
      <c r="E29" s="758">
        <f>E$27/(1+$D29)</f>
        <v>28.571428571428573</v>
      </c>
      <c r="F29" s="793">
        <f t="shared" si="10"/>
        <v>18.857142857142858</v>
      </c>
      <c r="G29" s="803">
        <f t="shared" si="10"/>
        <v>2.6857142857142859</v>
      </c>
      <c r="H29" s="759">
        <f t="shared" si="10"/>
        <v>1.8857142857142857</v>
      </c>
      <c r="I29" s="800">
        <f t="shared" si="10"/>
        <v>1.3714285714285714</v>
      </c>
      <c r="J29" s="801" t="s">
        <v>670</v>
      </c>
      <c r="K29" s="802">
        <f t="shared" si="10"/>
        <v>1.9428571428571428</v>
      </c>
      <c r="L29" s="804">
        <f t="shared" si="10"/>
        <v>1.5428571428571429</v>
      </c>
      <c r="M29" s="761">
        <f t="shared" si="10"/>
        <v>1.7142857142857142</v>
      </c>
      <c r="N29" s="761">
        <f t="shared" si="10"/>
        <v>0.32</v>
      </c>
      <c r="O29" s="772">
        <f t="shared" si="10"/>
        <v>0.8571428571428571</v>
      </c>
      <c r="P29" s="1770"/>
      <c r="Q29" s="1770"/>
      <c r="R29" s="1770"/>
      <c r="S29" s="1770"/>
      <c r="T29" s="1770"/>
      <c r="U29" s="727"/>
      <c r="V29" s="762">
        <f t="shared" si="7"/>
        <v>2.8571428571428574E-2</v>
      </c>
      <c r="W29" s="762"/>
      <c r="X29" s="763"/>
      <c r="Y29" s="764"/>
      <c r="Z29" s="765"/>
      <c r="AA29" s="766"/>
      <c r="AB29" s="767"/>
      <c r="AC29" s="764"/>
      <c r="AD29" s="764"/>
      <c r="AE29" s="764"/>
      <c r="AF29" s="768"/>
      <c r="AG29" s="769"/>
    </row>
    <row r="30" spans="2:35" ht="15.95" customHeight="1">
      <c r="B30" s="719" t="s">
        <v>245</v>
      </c>
      <c r="C30" s="719"/>
      <c r="D30" s="719"/>
      <c r="E30" s="757">
        <v>270</v>
      </c>
      <c r="F30" s="792">
        <v>230</v>
      </c>
      <c r="G30" s="774">
        <v>8.8000000000000007</v>
      </c>
      <c r="H30" s="723">
        <v>2.6</v>
      </c>
      <c r="I30" s="797">
        <v>3.5</v>
      </c>
      <c r="J30" s="798" t="s">
        <v>670</v>
      </c>
      <c r="K30" s="799">
        <v>5.3</v>
      </c>
      <c r="L30" s="775">
        <v>6.6</v>
      </c>
      <c r="M30" s="742">
        <v>7.3</v>
      </c>
      <c r="N30" s="742">
        <v>1.5</v>
      </c>
      <c r="O30" s="771">
        <v>5</v>
      </c>
      <c r="P30" s="1772">
        <f>G30/$L30</f>
        <v>1.3333333333333335</v>
      </c>
      <c r="Q30" s="1771">
        <f>(I30+K30)/2/L30</f>
        <v>0.66666666666666674</v>
      </c>
      <c r="R30" s="1769">
        <f>L30/$L30</f>
        <v>1</v>
      </c>
      <c r="S30" s="1769">
        <f>M30/$L30</f>
        <v>1.1060606060606062</v>
      </c>
      <c r="T30" s="1769">
        <f>N30/$L30</f>
        <v>0.22727272727272729</v>
      </c>
      <c r="U30" s="727"/>
      <c r="V30" s="743">
        <f t="shared" si="7"/>
        <v>0.27</v>
      </c>
      <c r="W30" s="743">
        <f>IF(F30&gt;0,F30/E30,"")</f>
        <v>0.85185185185185186</v>
      </c>
      <c r="X30" s="744">
        <f>IF(G30&gt;0,G30*1000/$E30,"")</f>
        <v>32.592592592592595</v>
      </c>
      <c r="Y30" s="745">
        <f>IF(H30&gt;0,H30*1000/$E30,"")</f>
        <v>9.6296296296296298</v>
      </c>
      <c r="Z30" s="746">
        <f>IF(I30&gt;0,I30*1000/$E30,"")</f>
        <v>12.962962962962964</v>
      </c>
      <c r="AA30" s="747" t="str">
        <f t="shared" si="8"/>
        <v>-</v>
      </c>
      <c r="AB30" s="748">
        <f>IF(K30&gt;0,K30*1000/$E30,"")</f>
        <v>19.62962962962963</v>
      </c>
      <c r="AC30" s="745">
        <f>IF(L30&gt;0,L30*1000/$E30,"")</f>
        <v>24.444444444444443</v>
      </c>
      <c r="AD30" s="745">
        <f>IF(M30&gt;0,M30*1000/$E30,"")</f>
        <v>27.037037037037038</v>
      </c>
      <c r="AE30" s="745">
        <f>IF(N30&gt;0,N30*1000/$E30,"")</f>
        <v>5.5555555555555554</v>
      </c>
      <c r="AF30" s="749">
        <f>IF(O30&gt;0,O30*1000/$E30,"")</f>
        <v>18.518518518518519</v>
      </c>
      <c r="AG30" s="720" t="s">
        <v>1577</v>
      </c>
    </row>
    <row r="31" spans="2:35" ht="13.5">
      <c r="B31" s="719"/>
      <c r="C31" s="867"/>
      <c r="D31" s="752"/>
      <c r="E31" s="794"/>
      <c r="F31" s="794"/>
      <c r="G31" s="807"/>
      <c r="H31" s="753"/>
      <c r="I31" s="754"/>
      <c r="J31" s="808"/>
      <c r="K31" s="809"/>
      <c r="L31" s="755"/>
      <c r="M31" s="755"/>
      <c r="N31" s="755"/>
      <c r="O31" s="773"/>
      <c r="V31" s="726"/>
      <c r="W31" s="736"/>
      <c r="X31" s="737"/>
      <c r="Y31" s="738"/>
      <c r="Z31" s="750"/>
      <c r="AA31" s="751"/>
      <c r="AB31" s="752"/>
      <c r="AC31" s="738"/>
      <c r="AD31" s="738"/>
      <c r="AE31" s="738"/>
      <c r="AF31" s="739"/>
    </row>
    <row r="32" spans="2:35" ht="15.95" customHeight="1">
      <c r="B32" s="1787" t="s">
        <v>147</v>
      </c>
      <c r="C32" s="719"/>
      <c r="D32" s="719"/>
      <c r="E32" s="794"/>
      <c r="F32" s="794"/>
      <c r="G32" s="807"/>
      <c r="I32" s="754"/>
      <c r="J32" s="810"/>
      <c r="K32" s="754"/>
      <c r="L32" s="755"/>
      <c r="M32" s="755"/>
      <c r="N32" s="755"/>
      <c r="O32" s="773"/>
      <c r="V32" s="726"/>
      <c r="W32" s="736"/>
      <c r="X32" s="737"/>
      <c r="Y32" s="738"/>
      <c r="Z32" s="750"/>
      <c r="AA32" s="751"/>
      <c r="AB32" s="752"/>
      <c r="AC32" s="738"/>
      <c r="AD32" s="738"/>
      <c r="AE32" s="738"/>
      <c r="AF32" s="739"/>
    </row>
    <row r="33" spans="2:35" ht="15.95" customHeight="1">
      <c r="B33" s="719" t="s">
        <v>580</v>
      </c>
      <c r="C33" s="867" t="s">
        <v>239</v>
      </c>
      <c r="D33" s="752">
        <v>0</v>
      </c>
      <c r="E33" s="757">
        <f>(E24+E8)/2</f>
        <v>70</v>
      </c>
      <c r="F33" s="792">
        <f t="shared" ref="F33:O33" si="11">(F24+F8)/2</f>
        <v>53</v>
      </c>
      <c r="G33" s="774">
        <f t="shared" si="11"/>
        <v>5.2</v>
      </c>
      <c r="H33" s="723">
        <f t="shared" si="11"/>
        <v>3.3499999999999996</v>
      </c>
      <c r="I33" s="797">
        <f t="shared" si="11"/>
        <v>2.75</v>
      </c>
      <c r="J33" s="798" t="s">
        <v>670</v>
      </c>
      <c r="K33" s="799">
        <f t="shared" si="11"/>
        <v>3.65</v>
      </c>
      <c r="L33" s="775">
        <f t="shared" si="11"/>
        <v>2.4500000000000002</v>
      </c>
      <c r="M33" s="742">
        <f t="shared" si="11"/>
        <v>5.55</v>
      </c>
      <c r="N33" s="742">
        <f t="shared" si="11"/>
        <v>0.745</v>
      </c>
      <c r="O33" s="771">
        <f t="shared" si="11"/>
        <v>1.8</v>
      </c>
      <c r="P33" s="1772">
        <f>G33/$L33</f>
        <v>2.1224489795918369</v>
      </c>
      <c r="Q33" s="1771">
        <f>(I33+K33)/2/L33</f>
        <v>1.3061224489795917</v>
      </c>
      <c r="R33" s="1769">
        <f>L33/$L33</f>
        <v>1</v>
      </c>
      <c r="S33" s="1769">
        <f>M33/$L33</f>
        <v>2.2653061224489792</v>
      </c>
      <c r="T33" s="1769">
        <f>N33/$L33</f>
        <v>0.30408163265306121</v>
      </c>
      <c r="U33" s="727"/>
      <c r="V33" s="743">
        <f>IF(E33&gt;0,E33/1000,"")</f>
        <v>7.0000000000000007E-2</v>
      </c>
      <c r="W33" s="743">
        <f>IF(F33&gt;0,F33/E33,"")</f>
        <v>0.75714285714285712</v>
      </c>
      <c r="X33" s="744">
        <f>IF(G33&gt;0,G33*1000/$E33,"")</f>
        <v>74.285714285714292</v>
      </c>
      <c r="Y33" s="745">
        <f>IF(H33&gt;0,H33*1000/$E33,"")</f>
        <v>47.857142857142854</v>
      </c>
      <c r="Z33" s="746">
        <f>IF(I33&gt;0,I33*1000/$E33,"")</f>
        <v>39.285714285714285</v>
      </c>
      <c r="AA33" s="747" t="str">
        <f>IF(AB33="","","-")</f>
        <v>-</v>
      </c>
      <c r="AB33" s="748">
        <f>IF(K33&gt;0,K33*1000/$E33,"")</f>
        <v>52.142857142857146</v>
      </c>
      <c r="AC33" s="745">
        <f>IF(L33&gt;0,L33*1000/$E33,"")</f>
        <v>35</v>
      </c>
      <c r="AD33" s="745">
        <f>IF(M33&gt;0,M33*1000/$E33,"")</f>
        <v>79.285714285714292</v>
      </c>
      <c r="AE33" s="745">
        <f>IF(N33&gt;0,N33*1000/$E33,"")</f>
        <v>10.642857142857142</v>
      </c>
      <c r="AF33" s="749">
        <f>IF(O33&gt;0,O33*1000/$E33,"")</f>
        <v>25.714285714285715</v>
      </c>
      <c r="AG33" s="720" t="s">
        <v>1574</v>
      </c>
    </row>
    <row r="34" spans="2:35" ht="13.5">
      <c r="B34" s="719"/>
      <c r="C34" s="867" t="s">
        <v>239</v>
      </c>
      <c r="D34" s="1791">
        <v>0.75</v>
      </c>
      <c r="E34" s="757">
        <f>E$33/(1+$D34)</f>
        <v>40</v>
      </c>
      <c r="F34" s="792">
        <f t="shared" ref="F34:O35" si="12">F$33/(1+$D34)</f>
        <v>30.285714285714285</v>
      </c>
      <c r="G34" s="774">
        <f t="shared" si="12"/>
        <v>2.9714285714285715</v>
      </c>
      <c r="H34" s="723">
        <f t="shared" si="12"/>
        <v>1.9142857142857141</v>
      </c>
      <c r="I34" s="797">
        <f t="shared" si="12"/>
        <v>1.5714285714285714</v>
      </c>
      <c r="J34" s="798" t="s">
        <v>670</v>
      </c>
      <c r="K34" s="799">
        <f t="shared" si="12"/>
        <v>2.0857142857142859</v>
      </c>
      <c r="L34" s="775">
        <f t="shared" si="12"/>
        <v>1.4000000000000001</v>
      </c>
      <c r="M34" s="742">
        <f t="shared" si="12"/>
        <v>3.1714285714285713</v>
      </c>
      <c r="N34" s="742">
        <f t="shared" si="12"/>
        <v>0.42571428571428571</v>
      </c>
      <c r="O34" s="771">
        <f t="shared" si="12"/>
        <v>1.0285714285714287</v>
      </c>
      <c r="U34" s="727"/>
      <c r="V34" s="743">
        <f>IF(E34&gt;0,E34/1000,"")</f>
        <v>0.04</v>
      </c>
      <c r="W34" s="743"/>
      <c r="X34" s="744"/>
      <c r="Y34" s="745"/>
      <c r="Z34" s="746"/>
      <c r="AA34" s="747"/>
      <c r="AB34" s="748"/>
      <c r="AC34" s="745"/>
      <c r="AD34" s="745"/>
      <c r="AE34" s="745"/>
      <c r="AF34" s="749"/>
    </row>
    <row r="35" spans="2:35" ht="13.5">
      <c r="B35" s="719"/>
      <c r="C35" s="867" t="s">
        <v>239</v>
      </c>
      <c r="D35" s="1791">
        <v>1.5</v>
      </c>
      <c r="E35" s="757">
        <f>E$33/(1+$D35)</f>
        <v>28</v>
      </c>
      <c r="F35" s="792">
        <f t="shared" si="12"/>
        <v>21.2</v>
      </c>
      <c r="G35" s="774">
        <f t="shared" si="12"/>
        <v>2.08</v>
      </c>
      <c r="H35" s="723">
        <f t="shared" si="12"/>
        <v>1.3399999999999999</v>
      </c>
      <c r="I35" s="797">
        <f t="shared" si="12"/>
        <v>1.1000000000000001</v>
      </c>
      <c r="J35" s="798" t="s">
        <v>670</v>
      </c>
      <c r="K35" s="799">
        <f t="shared" si="12"/>
        <v>1.46</v>
      </c>
      <c r="L35" s="775">
        <f t="shared" si="12"/>
        <v>0.98000000000000009</v>
      </c>
      <c r="M35" s="742">
        <f t="shared" si="12"/>
        <v>2.2199999999999998</v>
      </c>
      <c r="N35" s="742">
        <f t="shared" si="12"/>
        <v>0.29799999999999999</v>
      </c>
      <c r="O35" s="771">
        <f t="shared" si="12"/>
        <v>0.72</v>
      </c>
      <c r="U35" s="727"/>
      <c r="V35" s="743">
        <f>IF(E35&gt;0,E35/1000,"")</f>
        <v>2.8000000000000001E-2</v>
      </c>
      <c r="W35" s="743"/>
      <c r="X35" s="744"/>
      <c r="Y35" s="745"/>
      <c r="Z35" s="746"/>
      <c r="AA35" s="747"/>
      <c r="AB35" s="748"/>
      <c r="AC35" s="745"/>
      <c r="AD35" s="745"/>
      <c r="AE35" s="745"/>
      <c r="AF35" s="749"/>
    </row>
    <row r="36" spans="2:35" ht="13.5">
      <c r="B36" s="719"/>
      <c r="C36" s="867"/>
      <c r="D36" s="752"/>
      <c r="E36" s="794"/>
      <c r="F36" s="794"/>
      <c r="G36" s="807"/>
      <c r="H36" s="753"/>
      <c r="I36" s="754"/>
      <c r="J36" s="808"/>
      <c r="K36" s="809"/>
      <c r="L36" s="755"/>
      <c r="M36" s="755"/>
      <c r="N36" s="755"/>
      <c r="O36" s="773"/>
      <c r="V36" s="726"/>
      <c r="W36" s="736"/>
      <c r="X36" s="737"/>
      <c r="Y36" s="738"/>
      <c r="Z36" s="750"/>
      <c r="AA36" s="751"/>
      <c r="AB36" s="752"/>
      <c r="AC36" s="738"/>
      <c r="AD36" s="738"/>
      <c r="AE36" s="738"/>
      <c r="AF36" s="739"/>
    </row>
    <row r="37" spans="2:35" ht="15.95" customHeight="1">
      <c r="B37" s="1787" t="s">
        <v>776</v>
      </c>
      <c r="C37" s="719"/>
      <c r="D37" s="719"/>
      <c r="E37" s="794"/>
      <c r="F37" s="794"/>
      <c r="G37" s="807"/>
      <c r="I37" s="754"/>
      <c r="J37" s="810"/>
      <c r="K37" s="809"/>
      <c r="L37" s="755"/>
      <c r="M37" s="755"/>
      <c r="N37" s="755"/>
      <c r="O37" s="773"/>
      <c r="V37" s="743"/>
      <c r="W37" s="743"/>
      <c r="X37" s="744"/>
      <c r="Y37" s="745"/>
      <c r="Z37" s="746"/>
      <c r="AA37" s="747"/>
      <c r="AB37" s="748"/>
      <c r="AC37" s="745"/>
      <c r="AD37" s="745"/>
      <c r="AE37" s="745"/>
      <c r="AF37" s="749"/>
    </row>
    <row r="38" spans="2:35" ht="13.5">
      <c r="B38" s="719" t="s">
        <v>1572</v>
      </c>
      <c r="C38" s="719"/>
      <c r="D38" s="719"/>
      <c r="E38" s="757">
        <v>350</v>
      </c>
      <c r="F38" s="792">
        <v>250</v>
      </c>
      <c r="G38" s="774">
        <v>21</v>
      </c>
      <c r="H38" s="723">
        <v>6.3</v>
      </c>
      <c r="I38" s="797">
        <v>8.4</v>
      </c>
      <c r="J38" s="798" t="s">
        <v>670</v>
      </c>
      <c r="K38" s="2402">
        <v>13</v>
      </c>
      <c r="L38" s="775">
        <v>17</v>
      </c>
      <c r="M38" s="742">
        <v>11</v>
      </c>
      <c r="N38" s="742">
        <v>2.4</v>
      </c>
      <c r="O38" s="771">
        <v>37</v>
      </c>
      <c r="P38" s="1772">
        <f>G38/$L38</f>
        <v>1.2352941176470589</v>
      </c>
      <c r="Q38" s="1771">
        <f>(I38+K38)/2/L38</f>
        <v>0.62941176470588234</v>
      </c>
      <c r="R38" s="1769">
        <f t="shared" ref="R38:T43" si="13">L38/$L38</f>
        <v>1</v>
      </c>
      <c r="S38" s="1769">
        <f t="shared" si="13"/>
        <v>0.6470588235294118</v>
      </c>
      <c r="T38" s="1769">
        <f t="shared" si="13"/>
        <v>0.14117647058823529</v>
      </c>
      <c r="V38" s="743">
        <f>IF(E38&gt;0,E38/1000,"")</f>
        <v>0.35</v>
      </c>
      <c r="W38" s="743">
        <f>IF(F38&gt;0,F38/E38,"")</f>
        <v>0.7142857142857143</v>
      </c>
      <c r="X38" s="744">
        <f t="shared" ref="X38:Z43" si="14">IF(G38&gt;0,G38*1000/$E38,"")</f>
        <v>60</v>
      </c>
      <c r="Y38" s="745">
        <f t="shared" si="14"/>
        <v>18</v>
      </c>
      <c r="Z38" s="746">
        <f t="shared" si="14"/>
        <v>24</v>
      </c>
      <c r="AA38" s="747" t="str">
        <f>IF(AB38="","","-")</f>
        <v>-</v>
      </c>
      <c r="AB38" s="748">
        <f t="shared" ref="AB38:AF43" si="15">IF(K38&gt;0,K38*1000/$E38,"")</f>
        <v>37.142857142857146</v>
      </c>
      <c r="AC38" s="745">
        <f t="shared" si="15"/>
        <v>48.571428571428569</v>
      </c>
      <c r="AD38" s="745">
        <f t="shared" si="15"/>
        <v>31.428571428571427</v>
      </c>
      <c r="AE38" s="745">
        <f t="shared" si="15"/>
        <v>6.8571428571428568</v>
      </c>
      <c r="AF38" s="749">
        <f t="shared" si="15"/>
        <v>105.71428571428571</v>
      </c>
      <c r="AG38" s="720" t="s">
        <v>1577</v>
      </c>
    </row>
    <row r="39" spans="2:35" ht="13.5">
      <c r="B39" s="719" t="s">
        <v>525</v>
      </c>
      <c r="C39" s="719"/>
      <c r="D39" s="719"/>
      <c r="E39" s="757">
        <v>500</v>
      </c>
      <c r="F39" s="792">
        <v>330</v>
      </c>
      <c r="G39" s="774">
        <v>26</v>
      </c>
      <c r="H39" s="723">
        <v>7</v>
      </c>
      <c r="I39" s="2403">
        <v>11</v>
      </c>
      <c r="J39" s="798" t="s">
        <v>670</v>
      </c>
      <c r="K39" s="2402">
        <v>16</v>
      </c>
      <c r="L39" s="775">
        <v>30</v>
      </c>
      <c r="M39" s="742">
        <v>20</v>
      </c>
      <c r="N39" s="742">
        <v>4.3</v>
      </c>
      <c r="O39" s="771">
        <v>67</v>
      </c>
      <c r="P39" s="1772">
        <f>G39/$L39</f>
        <v>0.8666666666666667</v>
      </c>
      <c r="Q39" s="1771">
        <f>(I39+K39)/2/L39</f>
        <v>0.45</v>
      </c>
      <c r="R39" s="1769">
        <f t="shared" si="13"/>
        <v>1</v>
      </c>
      <c r="S39" s="1769">
        <f t="shared" si="13"/>
        <v>0.66666666666666663</v>
      </c>
      <c r="T39" s="1769">
        <f t="shared" si="13"/>
        <v>0.14333333333333334</v>
      </c>
      <c r="V39" s="743">
        <f>IF(E39&gt;0,E39/1000,"")</f>
        <v>0.5</v>
      </c>
      <c r="W39" s="743">
        <f>IF(F39&gt;0,F39/E39,"")</f>
        <v>0.66</v>
      </c>
      <c r="X39" s="744">
        <f t="shared" si="14"/>
        <v>52</v>
      </c>
      <c r="Y39" s="745">
        <f t="shared" si="14"/>
        <v>14</v>
      </c>
      <c r="Z39" s="746">
        <f t="shared" si="14"/>
        <v>22</v>
      </c>
      <c r="AA39" s="747" t="str">
        <f>IF(AB39="","","-")</f>
        <v>-</v>
      </c>
      <c r="AB39" s="748">
        <f t="shared" si="15"/>
        <v>32</v>
      </c>
      <c r="AC39" s="745">
        <f t="shared" si="15"/>
        <v>60</v>
      </c>
      <c r="AD39" s="745">
        <f t="shared" si="15"/>
        <v>40</v>
      </c>
      <c r="AE39" s="745">
        <f t="shared" si="15"/>
        <v>8.6</v>
      </c>
      <c r="AF39" s="749">
        <f t="shared" si="15"/>
        <v>134</v>
      </c>
      <c r="AG39" s="720" t="s">
        <v>1577</v>
      </c>
    </row>
    <row r="40" spans="2:35" ht="13.5">
      <c r="B40" s="1781" t="s">
        <v>526</v>
      </c>
      <c r="C40" s="719"/>
      <c r="D40" s="719"/>
      <c r="E40" s="757"/>
      <c r="F40" s="792"/>
      <c r="G40" s="774"/>
      <c r="H40" s="723"/>
      <c r="I40" s="2403"/>
      <c r="J40" s="798"/>
      <c r="K40" s="2402"/>
      <c r="L40" s="775"/>
      <c r="M40" s="742"/>
      <c r="N40" s="742"/>
      <c r="O40" s="771"/>
      <c r="P40" s="1772"/>
      <c r="Q40" s="1771"/>
      <c r="R40" s="1769"/>
      <c r="S40" s="1769"/>
      <c r="T40" s="1769"/>
      <c r="V40" s="743"/>
      <c r="W40" s="743"/>
      <c r="X40" s="744"/>
      <c r="Y40" s="745"/>
      <c r="Z40" s="746"/>
      <c r="AA40" s="747"/>
      <c r="AB40" s="748"/>
      <c r="AC40" s="745"/>
      <c r="AD40" s="745"/>
      <c r="AE40" s="745"/>
      <c r="AF40" s="749"/>
    </row>
    <row r="41" spans="2:35" ht="13.5">
      <c r="B41" s="719" t="s">
        <v>1573</v>
      </c>
      <c r="C41" s="719"/>
      <c r="D41" s="719"/>
      <c r="E41" s="757">
        <v>500</v>
      </c>
      <c r="F41" s="792">
        <v>330</v>
      </c>
      <c r="G41" s="774">
        <v>26</v>
      </c>
      <c r="H41" s="723">
        <v>7</v>
      </c>
      <c r="I41" s="2403">
        <v>11</v>
      </c>
      <c r="J41" s="798" t="s">
        <v>670</v>
      </c>
      <c r="K41" s="2402">
        <v>16</v>
      </c>
      <c r="L41" s="775">
        <v>30</v>
      </c>
      <c r="M41" s="742">
        <v>20</v>
      </c>
      <c r="N41" s="742">
        <v>4.3</v>
      </c>
      <c r="O41" s="771">
        <v>67</v>
      </c>
      <c r="P41" s="1773">
        <f>G41/$L41</f>
        <v>0.8666666666666667</v>
      </c>
      <c r="Q41" s="1774">
        <f>(I41+K41)/2/L41</f>
        <v>0.45</v>
      </c>
      <c r="R41" s="1775">
        <f t="shared" si="13"/>
        <v>1</v>
      </c>
      <c r="S41" s="1775">
        <f t="shared" si="13"/>
        <v>0.66666666666666663</v>
      </c>
      <c r="T41" s="1775">
        <f t="shared" si="13"/>
        <v>0.14333333333333334</v>
      </c>
      <c r="V41" s="743">
        <f>IF(E41&gt;0,E41/1000,"")</f>
        <v>0.5</v>
      </c>
      <c r="W41" s="743">
        <f>IF(F41&gt;0,F41/E41,"")</f>
        <v>0.66</v>
      </c>
      <c r="X41" s="744">
        <f>IF(G41&gt;0,G41*1000/$E41,"")</f>
        <v>52</v>
      </c>
      <c r="Y41" s="745">
        <f>IF(H41&gt;0,H41*1000/$E41,"")</f>
        <v>14</v>
      </c>
      <c r="Z41" s="746">
        <f>IF(I41&gt;0,I41*1000/$E41,"")</f>
        <v>22</v>
      </c>
      <c r="AA41" s="747" t="str">
        <f>IF(AB41="","","-")</f>
        <v>-</v>
      </c>
      <c r="AB41" s="748">
        <f>IF(K41&gt;0,K41*1000/$E41,"")</f>
        <v>32</v>
      </c>
      <c r="AC41" s="745">
        <f>IF(L41&gt;0,L41*1000/$E41,"")</f>
        <v>60</v>
      </c>
      <c r="AD41" s="745">
        <f>IF(M41&gt;0,M41*1000/$E41,"")</f>
        <v>40</v>
      </c>
      <c r="AE41" s="745">
        <f>IF(N41&gt;0,N41*1000/$E41,"")</f>
        <v>8.6</v>
      </c>
      <c r="AF41" s="749">
        <f>IF(O41&gt;0,O41*1000/$E41,"")</f>
        <v>134</v>
      </c>
      <c r="AG41" s="720" t="s">
        <v>1577</v>
      </c>
    </row>
    <row r="42" spans="2:35" s="791" customFormat="1" ht="15.95" customHeight="1">
      <c r="B42" s="1794" t="s">
        <v>246</v>
      </c>
      <c r="C42" s="1794"/>
      <c r="D42" s="1794"/>
      <c r="E42" s="850">
        <v>650</v>
      </c>
      <c r="F42" s="851">
        <v>440</v>
      </c>
      <c r="G42" s="852">
        <v>32</v>
      </c>
      <c r="H42" s="853">
        <v>10</v>
      </c>
      <c r="I42" s="2404">
        <v>13</v>
      </c>
      <c r="J42" s="854" t="s">
        <v>670</v>
      </c>
      <c r="K42" s="2405">
        <v>19</v>
      </c>
      <c r="L42" s="855">
        <v>17</v>
      </c>
      <c r="M42" s="856">
        <v>28</v>
      </c>
      <c r="N42" s="856">
        <v>5.5</v>
      </c>
      <c r="O42" s="857">
        <v>5</v>
      </c>
      <c r="P42" s="1773">
        <f>G42/$L42</f>
        <v>1.8823529411764706</v>
      </c>
      <c r="Q42" s="1774">
        <f>(I42+K42)/2/L42</f>
        <v>0.94117647058823528</v>
      </c>
      <c r="R42" s="1775">
        <f t="shared" si="13"/>
        <v>1</v>
      </c>
      <c r="S42" s="1775">
        <f t="shared" si="13"/>
        <v>1.6470588235294117</v>
      </c>
      <c r="T42" s="1775">
        <f t="shared" si="13"/>
        <v>0.3235294117647059</v>
      </c>
      <c r="U42" s="858"/>
      <c r="V42" s="859">
        <f>IF(E42&gt;0,E42/1000,"")</f>
        <v>0.65</v>
      </c>
      <c r="W42" s="859">
        <f>IF(F42&gt;0,F42/E42,"")</f>
        <v>0.67692307692307696</v>
      </c>
      <c r="X42" s="860">
        <f t="shared" si="14"/>
        <v>49.230769230769234</v>
      </c>
      <c r="Y42" s="861">
        <f t="shared" si="14"/>
        <v>15.384615384615385</v>
      </c>
      <c r="Z42" s="862">
        <f t="shared" si="14"/>
        <v>20</v>
      </c>
      <c r="AA42" s="863" t="str">
        <f>IF(AB42="","","-")</f>
        <v>-</v>
      </c>
      <c r="AB42" s="864">
        <f t="shared" si="15"/>
        <v>29.23076923076923</v>
      </c>
      <c r="AC42" s="861">
        <f t="shared" si="15"/>
        <v>26.153846153846153</v>
      </c>
      <c r="AD42" s="861">
        <f t="shared" si="15"/>
        <v>43.07692307692308</v>
      </c>
      <c r="AE42" s="861">
        <f t="shared" si="15"/>
        <v>8.4615384615384617</v>
      </c>
      <c r="AF42" s="865">
        <f t="shared" si="15"/>
        <v>7.6923076923076925</v>
      </c>
      <c r="AG42" s="866" t="s">
        <v>1577</v>
      </c>
      <c r="AH42" s="789"/>
      <c r="AI42" s="790"/>
    </row>
    <row r="43" spans="2:35" ht="13.5">
      <c r="B43" s="719" t="s">
        <v>247</v>
      </c>
      <c r="C43" s="719"/>
      <c r="D43" s="719"/>
      <c r="E43" s="757">
        <v>600</v>
      </c>
      <c r="F43" s="792">
        <v>400</v>
      </c>
      <c r="G43" s="774">
        <v>28</v>
      </c>
      <c r="H43" s="723">
        <v>7.5</v>
      </c>
      <c r="I43" s="2403">
        <v>12</v>
      </c>
      <c r="J43" s="798" t="s">
        <v>670</v>
      </c>
      <c r="K43" s="2402">
        <v>18</v>
      </c>
      <c r="L43" s="775">
        <v>23</v>
      </c>
      <c r="M43" s="742">
        <v>13</v>
      </c>
      <c r="N43" s="742">
        <v>6</v>
      </c>
      <c r="O43" s="771">
        <v>12</v>
      </c>
      <c r="P43" s="1772">
        <f>G43/$L43</f>
        <v>1.2173913043478262</v>
      </c>
      <c r="Q43" s="1771">
        <f>(I43+K43)/2/L43</f>
        <v>0.65217391304347827</v>
      </c>
      <c r="R43" s="1769">
        <f t="shared" si="13"/>
        <v>1</v>
      </c>
      <c r="S43" s="1769">
        <f t="shared" si="13"/>
        <v>0.56521739130434778</v>
      </c>
      <c r="T43" s="1769">
        <f t="shared" si="13"/>
        <v>0.2608695652173913</v>
      </c>
      <c r="U43" s="727"/>
      <c r="V43" s="743">
        <f>IF(E43&gt;0,E43/1000,"")</f>
        <v>0.6</v>
      </c>
      <c r="W43" s="743">
        <f>IF(F43&gt;0,F43/E43,"")</f>
        <v>0.66666666666666663</v>
      </c>
      <c r="X43" s="744">
        <f t="shared" si="14"/>
        <v>46.666666666666664</v>
      </c>
      <c r="Y43" s="745">
        <f t="shared" si="14"/>
        <v>12.5</v>
      </c>
      <c r="Z43" s="746">
        <f t="shared" si="14"/>
        <v>20</v>
      </c>
      <c r="AA43" s="747" t="str">
        <f>IF(AB43="","","-")</f>
        <v>-</v>
      </c>
      <c r="AB43" s="748">
        <f t="shared" si="15"/>
        <v>30</v>
      </c>
      <c r="AC43" s="745">
        <f t="shared" si="15"/>
        <v>38.333333333333336</v>
      </c>
      <c r="AD43" s="745">
        <f t="shared" si="15"/>
        <v>21.666666666666668</v>
      </c>
      <c r="AE43" s="745">
        <f t="shared" si="15"/>
        <v>10</v>
      </c>
      <c r="AF43" s="749">
        <f t="shared" si="15"/>
        <v>20</v>
      </c>
      <c r="AG43" s="720" t="s">
        <v>1577</v>
      </c>
    </row>
    <row r="44" spans="2:35" ht="13.5">
      <c r="B44" s="719"/>
      <c r="C44" s="867"/>
      <c r="D44" s="752"/>
      <c r="E44" s="794"/>
      <c r="F44" s="794"/>
      <c r="G44" s="807"/>
      <c r="H44" s="753"/>
      <c r="I44" s="754"/>
      <c r="J44" s="880"/>
      <c r="K44" s="809"/>
      <c r="L44" s="755"/>
      <c r="M44" s="755"/>
      <c r="N44" s="755"/>
      <c r="O44" s="773"/>
      <c r="V44" s="726"/>
      <c r="W44" s="736"/>
      <c r="X44" s="737"/>
      <c r="Y44" s="738"/>
      <c r="Z44" s="750"/>
      <c r="AA44" s="751"/>
      <c r="AB44" s="752"/>
      <c r="AC44" s="738"/>
      <c r="AD44" s="738"/>
      <c r="AE44" s="738"/>
      <c r="AF44" s="739"/>
    </row>
    <row r="45" spans="2:35" ht="15.95" customHeight="1">
      <c r="B45" s="1787" t="s">
        <v>140</v>
      </c>
      <c r="C45" s="867"/>
      <c r="D45" s="752"/>
      <c r="E45" s="794"/>
      <c r="F45" s="794"/>
      <c r="G45" s="807"/>
      <c r="H45" s="753"/>
      <c r="I45" s="877"/>
      <c r="J45" s="878"/>
      <c r="K45" s="879"/>
      <c r="L45" s="755"/>
      <c r="M45" s="755"/>
      <c r="N45" s="755"/>
      <c r="O45" s="773"/>
      <c r="V45" s="726"/>
      <c r="W45" s="736"/>
      <c r="X45" s="737"/>
      <c r="Y45" s="738"/>
      <c r="Z45" s="750"/>
      <c r="AA45" s="751"/>
      <c r="AB45" s="752"/>
      <c r="AC45" s="738"/>
      <c r="AD45" s="738"/>
      <c r="AE45" s="738"/>
      <c r="AF45" s="739"/>
    </row>
    <row r="46" spans="2:35" ht="15.95" customHeight="1">
      <c r="B46" s="1795" t="s">
        <v>139</v>
      </c>
      <c r="C46" s="1795"/>
      <c r="D46" s="1795"/>
      <c r="E46" s="758">
        <v>200</v>
      </c>
      <c r="F46" s="793">
        <v>150</v>
      </c>
      <c r="G46" s="803">
        <v>5</v>
      </c>
      <c r="H46" s="759">
        <v>1.9</v>
      </c>
      <c r="I46" s="800">
        <v>1.3</v>
      </c>
      <c r="J46" s="801" t="s">
        <v>670</v>
      </c>
      <c r="K46" s="802">
        <v>2.5</v>
      </c>
      <c r="L46" s="804">
        <v>2.5</v>
      </c>
      <c r="M46" s="761">
        <v>5.7</v>
      </c>
      <c r="N46" s="761">
        <v>0.89</v>
      </c>
      <c r="O46" s="772">
        <v>1.7</v>
      </c>
      <c r="P46" s="1773">
        <f>G46/$L46</f>
        <v>2</v>
      </c>
      <c r="Q46" s="1774">
        <f>(I46+K46)/2/L46</f>
        <v>0.76</v>
      </c>
      <c r="R46" s="1775">
        <f t="shared" ref="R46:T49" si="16">L46/$L46</f>
        <v>1</v>
      </c>
      <c r="S46" s="1775">
        <f t="shared" si="16"/>
        <v>2.2800000000000002</v>
      </c>
      <c r="T46" s="1775">
        <f t="shared" si="16"/>
        <v>0.35599999999999998</v>
      </c>
      <c r="U46" s="829"/>
      <c r="V46" s="762">
        <f>IF(E46&gt;0,E46/1000,"")</f>
        <v>0.2</v>
      </c>
      <c r="W46" s="830">
        <f>IF(F46&gt;0,F46/E46,"")</f>
        <v>0.75</v>
      </c>
      <c r="X46" s="763">
        <f t="shared" ref="X46:Z49" si="17">IF(G46&gt;0,G46*1000/$E46,"")</f>
        <v>25</v>
      </c>
      <c r="Y46" s="764">
        <f t="shared" si="17"/>
        <v>9.5</v>
      </c>
      <c r="Z46" s="765">
        <f t="shared" si="17"/>
        <v>6.5</v>
      </c>
      <c r="AA46" s="766" t="str">
        <f>IF(AB46="","","-")</f>
        <v>-</v>
      </c>
      <c r="AB46" s="767">
        <f t="shared" ref="AB46:AF49" si="18">IF(K46&gt;0,K46*1000/$E46,"")</f>
        <v>12.5</v>
      </c>
      <c r="AC46" s="764">
        <f t="shared" si="18"/>
        <v>12.5</v>
      </c>
      <c r="AD46" s="764">
        <f t="shared" si="18"/>
        <v>28.5</v>
      </c>
      <c r="AE46" s="764">
        <f t="shared" si="18"/>
        <v>4.45</v>
      </c>
      <c r="AF46" s="768">
        <f t="shared" si="18"/>
        <v>8.5</v>
      </c>
      <c r="AG46" s="769" t="s">
        <v>1577</v>
      </c>
    </row>
    <row r="47" spans="2:35" ht="15.95" customHeight="1">
      <c r="B47" s="719" t="s">
        <v>141</v>
      </c>
      <c r="C47" s="719"/>
      <c r="D47" s="719"/>
      <c r="E47" s="757">
        <v>350</v>
      </c>
      <c r="F47" s="792">
        <v>300</v>
      </c>
      <c r="G47" s="774">
        <v>4.4000000000000004</v>
      </c>
      <c r="H47" s="723">
        <v>1.2</v>
      </c>
      <c r="I47" s="797">
        <v>0.3</v>
      </c>
      <c r="J47" s="798" t="s">
        <v>670</v>
      </c>
      <c r="K47" s="799">
        <v>0.8</v>
      </c>
      <c r="L47" s="775">
        <v>2.5</v>
      </c>
      <c r="M47" s="742">
        <v>9.8000000000000007</v>
      </c>
      <c r="N47" s="742">
        <v>0.6</v>
      </c>
      <c r="O47" s="771">
        <v>2.5</v>
      </c>
      <c r="P47" s="1772">
        <f>G47/$L47</f>
        <v>1.7600000000000002</v>
      </c>
      <c r="Q47" s="1771">
        <f>(I47+K47)/2/L47</f>
        <v>0.22000000000000003</v>
      </c>
      <c r="R47" s="1769">
        <f t="shared" si="16"/>
        <v>1</v>
      </c>
      <c r="S47" s="1769">
        <f t="shared" si="16"/>
        <v>3.9200000000000004</v>
      </c>
      <c r="T47" s="1769">
        <f t="shared" si="16"/>
        <v>0.24</v>
      </c>
      <c r="U47" s="727"/>
      <c r="V47" s="743">
        <f>IF(E47&gt;0,E47/1000,"")</f>
        <v>0.35</v>
      </c>
      <c r="W47" s="743">
        <f>IF(F47&gt;0,F47/E47,"")</f>
        <v>0.8571428571428571</v>
      </c>
      <c r="X47" s="744">
        <f t="shared" si="17"/>
        <v>12.571428571428571</v>
      </c>
      <c r="Y47" s="745">
        <f t="shared" si="17"/>
        <v>3.4285714285714284</v>
      </c>
      <c r="Z47" s="746">
        <f t="shared" si="17"/>
        <v>0.8571428571428571</v>
      </c>
      <c r="AA47" s="747" t="str">
        <f>IF(AB47="","","-")</f>
        <v>-</v>
      </c>
      <c r="AB47" s="748">
        <f t="shared" si="18"/>
        <v>2.2857142857142856</v>
      </c>
      <c r="AC47" s="745">
        <f t="shared" si="18"/>
        <v>7.1428571428571432</v>
      </c>
      <c r="AD47" s="745">
        <f t="shared" si="18"/>
        <v>28</v>
      </c>
      <c r="AE47" s="745">
        <f t="shared" si="18"/>
        <v>1.7142857142857142</v>
      </c>
      <c r="AF47" s="749">
        <f t="shared" si="18"/>
        <v>7.1428571428571432</v>
      </c>
      <c r="AG47" s="720" t="s">
        <v>1577</v>
      </c>
    </row>
    <row r="48" spans="2:35" ht="15.95" customHeight="1">
      <c r="B48" s="719" t="s">
        <v>142</v>
      </c>
      <c r="C48" s="719"/>
      <c r="D48" s="719"/>
      <c r="E48" s="757">
        <v>350</v>
      </c>
      <c r="F48" s="792">
        <v>240</v>
      </c>
      <c r="G48" s="774">
        <v>6.8</v>
      </c>
      <c r="H48" s="723">
        <v>0.7</v>
      </c>
      <c r="I48" s="797">
        <v>0.7</v>
      </c>
      <c r="J48" s="798" t="s">
        <v>670</v>
      </c>
      <c r="K48" s="799">
        <v>1.8</v>
      </c>
      <c r="L48" s="775">
        <v>5</v>
      </c>
      <c r="M48" s="742">
        <v>19</v>
      </c>
      <c r="N48" s="742">
        <v>1.3</v>
      </c>
      <c r="O48" s="771">
        <v>5</v>
      </c>
      <c r="P48" s="1773">
        <f>G48/$L48</f>
        <v>1.3599999999999999</v>
      </c>
      <c r="Q48" s="1774">
        <f>(I48+K48)/2/L48</f>
        <v>0.25</v>
      </c>
      <c r="R48" s="1775">
        <f t="shared" si="16"/>
        <v>1</v>
      </c>
      <c r="S48" s="1775">
        <f t="shared" si="16"/>
        <v>3.8</v>
      </c>
      <c r="T48" s="1775">
        <f t="shared" si="16"/>
        <v>0.26</v>
      </c>
      <c r="U48" s="727"/>
      <c r="V48" s="743">
        <f>IF(E48&gt;0,E48/1000,"")</f>
        <v>0.35</v>
      </c>
      <c r="W48" s="743">
        <f>IF(F48&gt;0,F48/E48,"")</f>
        <v>0.68571428571428572</v>
      </c>
      <c r="X48" s="744">
        <f t="shared" si="17"/>
        <v>19.428571428571427</v>
      </c>
      <c r="Y48" s="745">
        <f t="shared" si="17"/>
        <v>2</v>
      </c>
      <c r="Z48" s="746">
        <f t="shared" si="17"/>
        <v>2</v>
      </c>
      <c r="AA48" s="747" t="str">
        <f>IF(AB48="","","-")</f>
        <v>-</v>
      </c>
      <c r="AB48" s="748">
        <f t="shared" si="18"/>
        <v>5.1428571428571432</v>
      </c>
      <c r="AC48" s="745">
        <f t="shared" si="18"/>
        <v>14.285714285714286</v>
      </c>
      <c r="AD48" s="745">
        <f t="shared" si="18"/>
        <v>54.285714285714285</v>
      </c>
      <c r="AE48" s="745">
        <f t="shared" si="18"/>
        <v>3.7142857142857144</v>
      </c>
      <c r="AF48" s="749">
        <f t="shared" si="18"/>
        <v>14.285714285714286</v>
      </c>
      <c r="AG48" s="720" t="s">
        <v>1577</v>
      </c>
    </row>
    <row r="49" spans="1:35" ht="15.95" customHeight="1">
      <c r="B49" s="1796" t="s">
        <v>143</v>
      </c>
      <c r="C49" s="1796"/>
      <c r="D49" s="1796"/>
      <c r="E49" s="831">
        <v>270</v>
      </c>
      <c r="F49" s="832">
        <v>200</v>
      </c>
      <c r="G49" s="833">
        <v>8.1999999999999993</v>
      </c>
      <c r="H49" s="834">
        <v>2.4</v>
      </c>
      <c r="I49" s="835">
        <v>3.3</v>
      </c>
      <c r="J49" s="836" t="s">
        <v>670</v>
      </c>
      <c r="K49" s="837">
        <v>4.9000000000000004</v>
      </c>
      <c r="L49" s="838">
        <v>3.7</v>
      </c>
      <c r="M49" s="839">
        <v>17</v>
      </c>
      <c r="N49" s="839">
        <v>1.3</v>
      </c>
      <c r="O49" s="840">
        <v>4.9000000000000004</v>
      </c>
      <c r="P49" s="1772">
        <f>G49/$L49</f>
        <v>2.2162162162162158</v>
      </c>
      <c r="Q49" s="1771">
        <f>(I49+K49)/2/L49</f>
        <v>1.1081081081081079</v>
      </c>
      <c r="R49" s="1769">
        <f t="shared" si="16"/>
        <v>1</v>
      </c>
      <c r="S49" s="1769">
        <f t="shared" si="16"/>
        <v>4.5945945945945947</v>
      </c>
      <c r="T49" s="1769">
        <f t="shared" si="16"/>
        <v>0.35135135135135137</v>
      </c>
      <c r="U49" s="841"/>
      <c r="V49" s="842">
        <f>IF(E49&gt;0,E49/1000,"")</f>
        <v>0.27</v>
      </c>
      <c r="W49" s="842">
        <f>IF(F49&gt;0,F49/E49,"")</f>
        <v>0.7407407407407407</v>
      </c>
      <c r="X49" s="843">
        <f t="shared" si="17"/>
        <v>30.37037037037037</v>
      </c>
      <c r="Y49" s="844">
        <f t="shared" si="17"/>
        <v>8.8888888888888893</v>
      </c>
      <c r="Z49" s="845">
        <f t="shared" si="17"/>
        <v>12.222222222222221</v>
      </c>
      <c r="AA49" s="846" t="str">
        <f>IF(AB49="","","-")</f>
        <v>-</v>
      </c>
      <c r="AB49" s="847">
        <f t="shared" si="18"/>
        <v>18.148148148148149</v>
      </c>
      <c r="AC49" s="844">
        <f t="shared" si="18"/>
        <v>13.703703703703704</v>
      </c>
      <c r="AD49" s="844">
        <f t="shared" si="18"/>
        <v>62.962962962962962</v>
      </c>
      <c r="AE49" s="844">
        <f t="shared" si="18"/>
        <v>4.8148148148148149</v>
      </c>
      <c r="AF49" s="848">
        <f t="shared" si="18"/>
        <v>18.148148148148149</v>
      </c>
      <c r="AG49" s="849" t="s">
        <v>1577</v>
      </c>
    </row>
    <row r="50" spans="1:35" ht="6" customHeight="1">
      <c r="B50" s="811"/>
    </row>
    <row r="51" spans="1:35" ht="13.5">
      <c r="B51" s="719" t="s">
        <v>1768</v>
      </c>
      <c r="C51" s="719"/>
      <c r="D51" s="719"/>
      <c r="E51" s="794"/>
      <c r="F51" s="794"/>
      <c r="G51" s="2554">
        <v>7</v>
      </c>
      <c r="I51" s="2555"/>
      <c r="J51" s="798"/>
      <c r="K51" s="799"/>
      <c r="L51" s="2556">
        <v>4.3</v>
      </c>
      <c r="M51" s="755"/>
      <c r="N51" s="755"/>
      <c r="O51" s="773"/>
      <c r="P51" s="1772">
        <f>G51/$L51</f>
        <v>1.6279069767441861</v>
      </c>
      <c r="Q51" s="1771"/>
      <c r="R51" s="1769">
        <f t="shared" ref="R51" si="19">L51/$L51</f>
        <v>1</v>
      </c>
      <c r="S51" s="1769"/>
      <c r="T51" s="1769"/>
      <c r="U51" s="716">
        <v>500</v>
      </c>
      <c r="V51" s="842" t="str">
        <f>IF(E51&gt;0,E51/1000,"")</f>
        <v/>
      </c>
      <c r="W51" s="842" t="str">
        <f>IF(F51&gt;0,F51/E51,"")</f>
        <v/>
      </c>
      <c r="X51" s="843" t="e">
        <f t="shared" ref="X51" si="20">IF(G51&gt;0,G51*1000/$E51,"")</f>
        <v>#DIV/0!</v>
      </c>
      <c r="Y51" s="844" t="str">
        <f t="shared" ref="Y51" si="21">IF(H51&gt;0,H51*1000/$E51,"")</f>
        <v/>
      </c>
      <c r="Z51" s="845" t="str">
        <f t="shared" ref="Z51" si="22">IF(I51&gt;0,I51*1000/$E51,"")</f>
        <v/>
      </c>
      <c r="AA51" s="846" t="str">
        <f>IF(AB51="","","-")</f>
        <v/>
      </c>
      <c r="AB51" s="847" t="str">
        <f t="shared" ref="AB51" si="23">IF(K51&gt;0,K51*1000/$E51,"")</f>
        <v/>
      </c>
      <c r="AC51" s="844" t="e">
        <f t="shared" ref="AC51" si="24">IF(L51&gt;0,L51*1000/$E51,"")</f>
        <v>#DIV/0!</v>
      </c>
      <c r="AD51" s="844" t="str">
        <f t="shared" ref="AD51" si="25">IF(M51&gt;0,M51*1000/$E51,"")</f>
        <v/>
      </c>
      <c r="AE51" s="844" t="str">
        <f t="shared" ref="AE51" si="26">IF(N51&gt;0,N51*1000/$E51,"")</f>
        <v/>
      </c>
      <c r="AF51" s="848" t="str">
        <f t="shared" ref="AF51" si="27">IF(O51&gt;0,O51*1000/$E51,"")</f>
        <v/>
      </c>
      <c r="AG51" s="720" t="s">
        <v>1769</v>
      </c>
    </row>
    <row r="52" spans="1:35" s="719" customFormat="1" ht="25.5" customHeight="1">
      <c r="B52" s="719" t="s">
        <v>1405</v>
      </c>
      <c r="C52" s="867"/>
      <c r="D52" s="752"/>
      <c r="E52" s="868"/>
      <c r="F52" s="868"/>
      <c r="G52" s="869"/>
      <c r="H52" s="756"/>
      <c r="I52" s="870"/>
      <c r="J52" s="871"/>
      <c r="K52" s="872"/>
      <c r="L52" s="873"/>
      <c r="M52" s="873"/>
      <c r="N52" s="873"/>
      <c r="O52" s="874"/>
      <c r="P52" s="716"/>
      <c r="Q52" s="716"/>
      <c r="R52" s="716"/>
      <c r="S52" s="716"/>
      <c r="T52" s="716"/>
      <c r="U52" s="716"/>
      <c r="V52" s="726"/>
      <c r="W52" s="726"/>
      <c r="X52" s="737"/>
      <c r="Y52" s="738"/>
      <c r="Z52" s="750"/>
      <c r="AA52" s="751"/>
      <c r="AB52" s="752"/>
      <c r="AC52" s="738"/>
      <c r="AD52" s="738"/>
      <c r="AE52" s="738"/>
      <c r="AF52" s="739"/>
      <c r="AG52" s="720"/>
      <c r="AI52" s="721"/>
    </row>
    <row r="53" spans="1:35" s="719" customFormat="1" ht="15.75">
      <c r="B53" s="719" t="s">
        <v>148</v>
      </c>
      <c r="C53" s="867"/>
      <c r="D53" s="752"/>
      <c r="E53" s="868"/>
      <c r="F53" s="868"/>
      <c r="G53" s="869"/>
      <c r="H53" s="756"/>
      <c r="I53" s="870"/>
      <c r="J53" s="871"/>
      <c r="K53" s="872"/>
      <c r="L53" s="873"/>
      <c r="M53" s="873"/>
      <c r="N53" s="873"/>
      <c r="O53" s="874"/>
      <c r="P53" s="716"/>
      <c r="Q53" s="716"/>
      <c r="R53" s="716"/>
      <c r="S53" s="716"/>
      <c r="T53" s="716"/>
      <c r="U53" s="716"/>
      <c r="V53" s="726"/>
      <c r="W53" s="726"/>
      <c r="X53" s="737"/>
      <c r="Y53" s="738"/>
      <c r="Z53" s="750"/>
      <c r="AA53" s="751"/>
      <c r="AB53" s="752"/>
      <c r="AC53" s="738"/>
      <c r="AD53" s="738"/>
      <c r="AE53" s="738"/>
      <c r="AF53" s="739"/>
      <c r="AG53" s="720"/>
      <c r="AI53" s="721"/>
    </row>
    <row r="54" spans="1:35" s="719" customFormat="1" ht="15.75">
      <c r="B54" s="875" t="s">
        <v>209</v>
      </c>
      <c r="C54" s="876"/>
      <c r="D54" s="881"/>
      <c r="E54" s="882"/>
      <c r="F54" s="882"/>
      <c r="G54" s="869"/>
      <c r="H54" s="756"/>
      <c r="I54" s="870"/>
      <c r="J54" s="871"/>
      <c r="K54" s="872"/>
      <c r="L54" s="873"/>
      <c r="M54" s="873"/>
      <c r="N54" s="873"/>
      <c r="O54" s="874"/>
      <c r="P54" s="716"/>
      <c r="Q54" s="716"/>
      <c r="R54" s="716"/>
      <c r="S54" s="716"/>
      <c r="T54" s="716"/>
      <c r="U54" s="716"/>
      <c r="V54" s="726"/>
      <c r="W54" s="726"/>
      <c r="X54" s="737"/>
      <c r="Y54" s="738"/>
      <c r="Z54" s="750"/>
      <c r="AA54" s="751"/>
      <c r="AB54" s="752"/>
      <c r="AC54" s="738"/>
      <c r="AD54" s="738"/>
      <c r="AE54" s="738"/>
      <c r="AF54" s="739"/>
      <c r="AG54" s="720"/>
      <c r="AI54" s="721"/>
    </row>
    <row r="55" spans="1:35" s="719" customFormat="1" ht="13.5">
      <c r="B55" s="719" t="s">
        <v>212</v>
      </c>
      <c r="C55" s="867"/>
      <c r="D55" s="881"/>
      <c r="E55" s="882"/>
      <c r="F55" s="882"/>
      <c r="G55" s="869"/>
      <c r="H55" s="756"/>
      <c r="I55" s="870"/>
      <c r="J55" s="871"/>
      <c r="K55" s="872"/>
      <c r="L55" s="873"/>
      <c r="M55" s="873"/>
      <c r="N55" s="873"/>
      <c r="O55" s="874"/>
      <c r="P55" s="716"/>
      <c r="Q55" s="716"/>
      <c r="R55" s="716"/>
      <c r="S55" s="716"/>
      <c r="T55" s="716"/>
      <c r="U55" s="716"/>
      <c r="V55" s="726"/>
      <c r="W55" s="726"/>
      <c r="X55" s="737"/>
      <c r="Y55" s="738"/>
      <c r="Z55" s="750"/>
      <c r="AA55" s="751"/>
      <c r="AB55" s="752"/>
      <c r="AC55" s="738"/>
      <c r="AD55" s="738"/>
      <c r="AE55" s="738"/>
      <c r="AF55" s="739"/>
      <c r="AG55" s="720"/>
      <c r="AI55" s="721"/>
    </row>
    <row r="56" spans="1:35" ht="24.75" customHeight="1">
      <c r="A56" s="883"/>
      <c r="C56" s="740"/>
      <c r="D56" s="805"/>
      <c r="E56" s="794"/>
      <c r="F56" s="794"/>
      <c r="G56" s="807"/>
      <c r="H56" s="753"/>
      <c r="I56" s="754"/>
      <c r="J56" s="808"/>
      <c r="K56" s="809"/>
      <c r="L56" s="755"/>
      <c r="M56" s="755"/>
      <c r="N56" s="755"/>
      <c r="O56" s="773"/>
      <c r="V56" s="726"/>
      <c r="W56" s="736"/>
      <c r="X56" s="737"/>
      <c r="Y56" s="738"/>
      <c r="Z56" s="750"/>
      <c r="AA56" s="751"/>
      <c r="AB56" s="752"/>
      <c r="AC56" s="738"/>
      <c r="AD56" s="738"/>
      <c r="AE56" s="738"/>
      <c r="AF56" s="739"/>
    </row>
    <row r="57" spans="1:35" ht="19.5" customHeight="1">
      <c r="B57" s="713" t="s">
        <v>1575</v>
      </c>
    </row>
    <row r="58" spans="1:35" ht="31.5" customHeight="1">
      <c r="B58" s="811" t="s">
        <v>144</v>
      </c>
    </row>
    <row r="59" spans="1:35" ht="20.100000000000001" customHeight="1">
      <c r="B59" s="719"/>
      <c r="C59" s="1783"/>
      <c r="D59" s="1783"/>
      <c r="E59" s="722" t="s">
        <v>229</v>
      </c>
      <c r="F59" s="723" t="s">
        <v>230</v>
      </c>
      <c r="G59" s="776" t="s">
        <v>583</v>
      </c>
      <c r="H59" s="723" t="s">
        <v>582</v>
      </c>
      <c r="I59" s="795" t="s">
        <v>581</v>
      </c>
      <c r="J59" s="796"/>
      <c r="K59" s="796"/>
      <c r="L59" s="777" t="s">
        <v>924</v>
      </c>
      <c r="M59" s="724" t="s">
        <v>925</v>
      </c>
      <c r="N59" s="724" t="s">
        <v>64</v>
      </c>
      <c r="O59" s="725" t="s">
        <v>233</v>
      </c>
      <c r="P59" s="1806" t="s">
        <v>521</v>
      </c>
      <c r="Q59" s="730"/>
      <c r="R59" s="730"/>
      <c r="S59" s="730"/>
      <c r="T59" s="1803"/>
      <c r="U59" s="1779" t="s">
        <v>234</v>
      </c>
      <c r="V59" s="726" t="s">
        <v>170</v>
      </c>
      <c r="W59" s="726" t="s">
        <v>230</v>
      </c>
      <c r="X59" s="727" t="s">
        <v>231</v>
      </c>
      <c r="Y59" s="728" t="s">
        <v>232</v>
      </c>
      <c r="Z59" s="729" t="s">
        <v>889</v>
      </c>
      <c r="AA59" s="730"/>
      <c r="AB59" s="730"/>
      <c r="AC59" s="728" t="s">
        <v>248</v>
      </c>
      <c r="AD59" s="728" t="s">
        <v>249</v>
      </c>
      <c r="AE59" s="728" t="s">
        <v>64</v>
      </c>
      <c r="AF59" s="731" t="s">
        <v>233</v>
      </c>
      <c r="AG59" s="720" t="s">
        <v>1834</v>
      </c>
    </row>
    <row r="60" spans="1:35" s="791" customFormat="1" ht="20.100000000000001" customHeight="1">
      <c r="B60" s="1784"/>
      <c r="C60" s="1785"/>
      <c r="D60" s="1786"/>
      <c r="E60" s="2383" t="s">
        <v>1550</v>
      </c>
      <c r="F60" s="780"/>
      <c r="G60" s="779"/>
      <c r="H60" s="780"/>
      <c r="I60" s="780"/>
      <c r="J60" s="778"/>
      <c r="K60" s="778"/>
      <c r="L60" s="780"/>
      <c r="M60" s="780"/>
      <c r="N60" s="780"/>
      <c r="O60" s="781"/>
      <c r="P60" s="1804" t="s">
        <v>522</v>
      </c>
      <c r="Q60" s="1778" t="s">
        <v>523</v>
      </c>
      <c r="R60" s="1777" t="s">
        <v>659</v>
      </c>
      <c r="S60" s="1777" t="s">
        <v>660</v>
      </c>
      <c r="T60" s="1805" t="s">
        <v>64</v>
      </c>
      <c r="U60" s="1780" t="s">
        <v>236</v>
      </c>
      <c r="V60" s="783"/>
      <c r="W60" s="783" t="s">
        <v>170</v>
      </c>
      <c r="X60" s="784" t="s">
        <v>237</v>
      </c>
      <c r="Y60" s="785"/>
      <c r="Z60" s="785"/>
      <c r="AA60" s="786"/>
      <c r="AB60" s="786"/>
      <c r="AC60" s="785"/>
      <c r="AD60" s="785"/>
      <c r="AE60" s="785"/>
      <c r="AF60" s="787"/>
      <c r="AG60" s="788"/>
      <c r="AH60" s="789"/>
      <c r="AI60" s="790"/>
    </row>
    <row r="61" spans="1:35" s="791" customFormat="1" ht="8.1" customHeight="1">
      <c r="B61" s="789"/>
      <c r="C61" s="1797"/>
      <c r="D61" s="1798"/>
      <c r="E61" s="897"/>
      <c r="F61" s="898"/>
      <c r="G61" s="898"/>
      <c r="H61" s="898"/>
      <c r="I61" s="898"/>
      <c r="J61" s="898"/>
      <c r="K61" s="898"/>
      <c r="L61" s="898"/>
      <c r="M61" s="898"/>
      <c r="N61" s="898"/>
      <c r="O61" s="899"/>
      <c r="P61" s="1769"/>
      <c r="Q61" s="1769"/>
      <c r="R61" s="1769"/>
      <c r="S61" s="1769"/>
      <c r="T61" s="1769"/>
      <c r="U61" s="782"/>
      <c r="V61" s="892"/>
      <c r="W61" s="892"/>
      <c r="X61" s="893"/>
      <c r="Y61" s="894"/>
      <c r="Z61" s="894"/>
      <c r="AA61" s="895"/>
      <c r="AB61" s="895"/>
      <c r="AC61" s="894"/>
      <c r="AD61" s="894"/>
      <c r="AE61" s="894"/>
      <c r="AF61" s="896"/>
      <c r="AG61" s="788"/>
      <c r="AH61" s="789"/>
      <c r="AI61" s="790"/>
    </row>
    <row r="62" spans="1:35" ht="15.95" customHeight="1">
      <c r="B62" s="1787" t="s">
        <v>524</v>
      </c>
      <c r="C62" s="867"/>
      <c r="D62" s="752" t="s">
        <v>1551</v>
      </c>
      <c r="E62" s="757">
        <v>510</v>
      </c>
      <c r="F62" s="792">
        <v>214</v>
      </c>
      <c r="G62" s="2370">
        <v>7</v>
      </c>
      <c r="H62" s="723">
        <v>0.3</v>
      </c>
      <c r="I62" s="797">
        <v>0.4</v>
      </c>
      <c r="J62" s="798" t="s">
        <v>670</v>
      </c>
      <c r="K62" s="799">
        <v>0.7</v>
      </c>
      <c r="L62" s="2371">
        <v>3</v>
      </c>
      <c r="M62" s="2372">
        <v>5</v>
      </c>
      <c r="N62" s="2372">
        <v>3</v>
      </c>
      <c r="O62" s="2373">
        <v>25</v>
      </c>
      <c r="P62" s="1772">
        <f>G62/$L62</f>
        <v>2.3333333333333335</v>
      </c>
      <c r="Q62" s="1771">
        <f>(I62+K62)/2/L62</f>
        <v>0.18333333333333335</v>
      </c>
      <c r="R62" s="1769">
        <f>L62/$L62</f>
        <v>1</v>
      </c>
      <c r="S62" s="1769">
        <f>M62/$L62</f>
        <v>1.6666666666666667</v>
      </c>
      <c r="T62" s="1769">
        <f>N62/$L62</f>
        <v>1</v>
      </c>
      <c r="U62" s="782" t="s">
        <v>146</v>
      </c>
      <c r="V62" s="743">
        <f>IF(E62&gt;0,E62/1000,"")</f>
        <v>0.51</v>
      </c>
      <c r="W62" s="743">
        <f>IF(F62&gt;0,F62/E62,"")</f>
        <v>0.41960784313725491</v>
      </c>
      <c r="X62" s="744">
        <f>IF(G62&gt;0,G62*1000/$E62,"")</f>
        <v>13.725490196078431</v>
      </c>
      <c r="Y62" s="745">
        <f>IF(H62&gt;0,H62*1000/$E62,"")</f>
        <v>0.58823529411764708</v>
      </c>
      <c r="Z62" s="746">
        <f>IF(I62&gt;0,I62*1000/$E62,"")</f>
        <v>0.78431372549019607</v>
      </c>
      <c r="AA62" s="747" t="str">
        <f>IF(AB62="","","-")</f>
        <v>-</v>
      </c>
      <c r="AB62" s="748">
        <f>IF(K62&gt;0,K62*1000/$E62,"")</f>
        <v>1.3725490196078431</v>
      </c>
      <c r="AC62" s="745">
        <f>IF(L62&gt;0,L62*1000/$E62,"")</f>
        <v>5.882352941176471</v>
      </c>
      <c r="AD62" s="745">
        <f>IF(M62&gt;0,M62*1000/$E62,"")</f>
        <v>9.8039215686274517</v>
      </c>
      <c r="AE62" s="745">
        <f>IF(N62&gt;0,N62*1000/$E62,"")</f>
        <v>5.882352941176471</v>
      </c>
      <c r="AF62" s="749">
        <f>IF(O62&gt;0,O62*1000/$E62,"")</f>
        <v>49.019607843137258</v>
      </c>
      <c r="AG62" s="788" t="s">
        <v>1833</v>
      </c>
    </row>
    <row r="63" spans="1:35" ht="18" customHeight="1">
      <c r="B63" s="719"/>
      <c r="C63" s="719"/>
      <c r="D63" s="719"/>
      <c r="I63" s="3672" t="s">
        <v>150</v>
      </c>
      <c r="J63" s="3672"/>
      <c r="K63" s="3672"/>
    </row>
    <row r="64" spans="1:35" s="719" customFormat="1" ht="16.5" customHeight="1">
      <c r="D64" s="2382" t="s">
        <v>1552</v>
      </c>
      <c r="E64" s="716"/>
      <c r="F64" s="716"/>
      <c r="G64" s="2374" t="s">
        <v>1553</v>
      </c>
      <c r="H64" s="2375" t="s">
        <v>1554</v>
      </c>
      <c r="I64" s="2376">
        <f>0.05*2</f>
        <v>0.1</v>
      </c>
      <c r="J64" s="2377" t="s">
        <v>670</v>
      </c>
      <c r="K64" s="2378">
        <v>1.5</v>
      </c>
      <c r="L64" s="2379" t="s">
        <v>1555</v>
      </c>
      <c r="M64" s="2380" t="s">
        <v>1556</v>
      </c>
      <c r="N64" s="2380" t="s">
        <v>1557</v>
      </c>
      <c r="O64" s="2381" t="s">
        <v>1558</v>
      </c>
      <c r="P64" s="716"/>
      <c r="Q64" s="716"/>
      <c r="R64" s="716"/>
      <c r="S64" s="716"/>
      <c r="T64" s="716"/>
      <c r="U64" s="716"/>
      <c r="V64" s="717"/>
      <c r="W64" s="717"/>
      <c r="AI64" s="721"/>
    </row>
    <row r="65" spans="1:33" ht="40.5" customHeight="1">
      <c r="B65" s="719"/>
      <c r="C65" s="719"/>
      <c r="D65" s="719"/>
      <c r="I65" s="2369"/>
      <c r="J65" s="2369"/>
      <c r="K65" s="2369"/>
    </row>
    <row r="66" spans="1:33" ht="20.100000000000001" customHeight="1">
      <c r="B66" s="1799" t="s">
        <v>145</v>
      </c>
      <c r="C66" s="719"/>
      <c r="D66" s="719"/>
      <c r="I66" s="2646" t="s">
        <v>1729</v>
      </c>
    </row>
    <row r="67" spans="1:33" ht="15.95" customHeight="1">
      <c r="B67" s="719" t="s">
        <v>152</v>
      </c>
      <c r="C67" s="867"/>
      <c r="D67" s="752"/>
      <c r="E67" s="757">
        <v>490</v>
      </c>
      <c r="F67" s="792">
        <v>235</v>
      </c>
      <c r="G67" s="774">
        <v>6</v>
      </c>
      <c r="H67" s="723">
        <v>0.3</v>
      </c>
      <c r="I67" s="1710">
        <f>0.2*G67</f>
        <v>1.2000000000000002</v>
      </c>
      <c r="J67" s="1711" t="s">
        <v>670</v>
      </c>
      <c r="K67" s="1712">
        <f>0.4*G67</f>
        <v>2.4000000000000004</v>
      </c>
      <c r="L67" s="775">
        <v>3</v>
      </c>
      <c r="M67" s="742">
        <v>5</v>
      </c>
      <c r="N67" s="742">
        <v>3</v>
      </c>
      <c r="O67" s="771">
        <v>25</v>
      </c>
      <c r="P67" s="1772">
        <f>G67/$L67</f>
        <v>2</v>
      </c>
      <c r="Q67" s="1771">
        <f>(I67+K67)/2/L67</f>
        <v>0.60000000000000009</v>
      </c>
      <c r="R67" s="1769">
        <f t="shared" ref="R67:T68" si="28">L67/$L67</f>
        <v>1</v>
      </c>
      <c r="S67" s="1769">
        <f t="shared" si="28"/>
        <v>1.6666666666666667</v>
      </c>
      <c r="T67" s="1769">
        <f t="shared" si="28"/>
        <v>1</v>
      </c>
      <c r="U67" s="782"/>
      <c r="V67" s="743">
        <f>IF(E67&gt;0,E67/1000,"")</f>
        <v>0.49</v>
      </c>
      <c r="W67" s="743">
        <f>IF(F67&gt;0,F67/E67,"")</f>
        <v>0.47959183673469385</v>
      </c>
      <c r="X67" s="744">
        <f t="shared" ref="X67:Z68" si="29">IF(G67&gt;0,G67*1000/$E67,"")</f>
        <v>12.244897959183673</v>
      </c>
      <c r="Y67" s="745">
        <f t="shared" si="29"/>
        <v>0.61224489795918369</v>
      </c>
      <c r="Z67" s="746">
        <f t="shared" si="29"/>
        <v>2.4489795918367352</v>
      </c>
      <c r="AA67" s="747" t="str">
        <f>IF(AB67="","","-")</f>
        <v>-</v>
      </c>
      <c r="AB67" s="748">
        <f t="shared" ref="AB67:AF68" si="30">IF(K67&gt;0,K67*1000/$E67,"")</f>
        <v>4.8979591836734704</v>
      </c>
      <c r="AC67" s="745">
        <f t="shared" si="30"/>
        <v>6.1224489795918364</v>
      </c>
      <c r="AD67" s="745">
        <f t="shared" si="30"/>
        <v>10.204081632653061</v>
      </c>
      <c r="AE67" s="745">
        <f t="shared" si="30"/>
        <v>6.1224489795918364</v>
      </c>
      <c r="AF67" s="749">
        <f t="shared" si="30"/>
        <v>51.020408163265309</v>
      </c>
      <c r="AG67" s="720" t="s">
        <v>1833</v>
      </c>
    </row>
    <row r="68" spans="1:33" ht="15.95" customHeight="1">
      <c r="B68" s="719" t="s">
        <v>153</v>
      </c>
      <c r="C68" s="867"/>
      <c r="D68" s="752"/>
      <c r="E68" s="757">
        <v>130</v>
      </c>
      <c r="F68" s="792">
        <v>61</v>
      </c>
      <c r="G68" s="774">
        <v>4</v>
      </c>
      <c r="H68" s="723">
        <v>2</v>
      </c>
      <c r="I68" s="1710">
        <f>0.5*G68</f>
        <v>2</v>
      </c>
      <c r="J68" s="1711" t="s">
        <v>670</v>
      </c>
      <c r="K68" s="1713">
        <f>0.65*G68</f>
        <v>2.6</v>
      </c>
      <c r="L68" s="775">
        <v>2</v>
      </c>
      <c r="M68" s="742">
        <v>4</v>
      </c>
      <c r="N68" s="742">
        <v>1</v>
      </c>
      <c r="O68" s="771">
        <v>5</v>
      </c>
      <c r="P68" s="1772">
        <f>G68/$L68</f>
        <v>2</v>
      </c>
      <c r="Q68" s="1771">
        <f>(I68+K68)/2/L68</f>
        <v>1.1499999999999999</v>
      </c>
      <c r="R68" s="1769">
        <f t="shared" si="28"/>
        <v>1</v>
      </c>
      <c r="S68" s="1769">
        <f t="shared" si="28"/>
        <v>2</v>
      </c>
      <c r="T68" s="1769">
        <f t="shared" si="28"/>
        <v>0.5</v>
      </c>
      <c r="U68" s="782"/>
      <c r="V68" s="743">
        <f>IF(E68&gt;0,E68/1000,"")</f>
        <v>0.13</v>
      </c>
      <c r="W68" s="743">
        <f>IF(F68&gt;0,F68/E68,"")</f>
        <v>0.46923076923076923</v>
      </c>
      <c r="X68" s="744">
        <f t="shared" si="29"/>
        <v>30.76923076923077</v>
      </c>
      <c r="Y68" s="745">
        <f t="shared" si="29"/>
        <v>15.384615384615385</v>
      </c>
      <c r="Z68" s="746">
        <f t="shared" si="29"/>
        <v>15.384615384615385</v>
      </c>
      <c r="AA68" s="747" t="str">
        <f>IF(AB68="","","-")</f>
        <v>-</v>
      </c>
      <c r="AB68" s="748">
        <f t="shared" si="30"/>
        <v>20</v>
      </c>
      <c r="AC68" s="745">
        <f t="shared" si="30"/>
        <v>15.384615384615385</v>
      </c>
      <c r="AD68" s="745">
        <f t="shared" si="30"/>
        <v>30.76923076923077</v>
      </c>
      <c r="AE68" s="745">
        <f t="shared" si="30"/>
        <v>7.6923076923076925</v>
      </c>
      <c r="AF68" s="749">
        <f t="shared" si="30"/>
        <v>38.46153846153846</v>
      </c>
      <c r="AG68" s="720" t="s">
        <v>1833</v>
      </c>
    </row>
    <row r="69" spans="1:33" ht="5.0999999999999996" customHeight="1">
      <c r="B69" s="719"/>
      <c r="C69" s="719"/>
      <c r="D69" s="719"/>
    </row>
    <row r="70" spans="1:33" ht="15.95" customHeight="1">
      <c r="F70" s="902" t="s">
        <v>151</v>
      </c>
      <c r="G70" s="752" t="s">
        <v>1559</v>
      </c>
      <c r="H70" s="752"/>
    </row>
    <row r="71" spans="1:33" ht="15.95" customHeight="1">
      <c r="G71" s="752" t="s">
        <v>1864</v>
      </c>
      <c r="H71" s="752"/>
    </row>
    <row r="72" spans="1:33" ht="15.95" customHeight="1">
      <c r="G72" s="752"/>
      <c r="H72" s="752"/>
    </row>
    <row r="73" spans="1:33" ht="15.95" customHeight="1">
      <c r="G73" s="752"/>
      <c r="H73" s="752"/>
    </row>
    <row r="74" spans="1:33" ht="15.95" customHeight="1">
      <c r="B74" s="713" t="s">
        <v>1770</v>
      </c>
      <c r="G74" s="752"/>
      <c r="H74" s="752"/>
    </row>
    <row r="75" spans="1:33" ht="15.95" customHeight="1">
      <c r="A75" s="883"/>
      <c r="E75" s="2383" t="s">
        <v>1726</v>
      </c>
      <c r="F75" s="780"/>
      <c r="G75" s="779"/>
      <c r="H75" s="780"/>
      <c r="I75" s="780"/>
      <c r="J75" s="778"/>
      <c r="K75" s="778"/>
      <c r="L75" s="780"/>
      <c r="M75" s="780"/>
      <c r="N75" s="780"/>
      <c r="O75" s="781"/>
      <c r="P75" s="1804" t="s">
        <v>522</v>
      </c>
      <c r="Q75" s="1778" t="s">
        <v>523</v>
      </c>
      <c r="R75" s="1777" t="s">
        <v>248</v>
      </c>
      <c r="S75" s="1777" t="s">
        <v>249</v>
      </c>
      <c r="T75" s="1805" t="s">
        <v>64</v>
      </c>
      <c r="U75" s="1780" t="s">
        <v>1725</v>
      </c>
    </row>
    <row r="76" spans="1:33" ht="15.95" customHeight="1">
      <c r="B76" s="1799" t="s">
        <v>1723</v>
      </c>
      <c r="E76" s="757"/>
      <c r="F76" s="792"/>
      <c r="G76" s="774">
        <v>0.8</v>
      </c>
      <c r="H76" s="723"/>
      <c r="I76" s="2520">
        <v>0.6</v>
      </c>
      <c r="J76" s="2521"/>
      <c r="K76" s="2522"/>
      <c r="L76" s="775">
        <v>0.3</v>
      </c>
      <c r="M76" s="742">
        <v>1</v>
      </c>
      <c r="N76" s="2732">
        <v>0.05</v>
      </c>
      <c r="O76" s="771"/>
      <c r="P76" s="1772">
        <f>G76/$L76</f>
        <v>2.666666666666667</v>
      </c>
      <c r="Q76" s="1771">
        <f>I76/L76</f>
        <v>2</v>
      </c>
      <c r="R76" s="1769">
        <f t="shared" ref="R76" si="31">L76/$L76</f>
        <v>1</v>
      </c>
      <c r="S76" s="1769">
        <f t="shared" ref="S76" si="32">M76/$L76</f>
        <v>3.3333333333333335</v>
      </c>
      <c r="T76" s="782">
        <f t="shared" ref="T76" si="33">N76/$L76</f>
        <v>0.16666666666666669</v>
      </c>
      <c r="U76" s="782" t="s">
        <v>1724</v>
      </c>
      <c r="AG76" s="720" t="s">
        <v>1835</v>
      </c>
    </row>
    <row r="77" spans="1:33" ht="15.95" customHeight="1">
      <c r="B77" s="1787"/>
    </row>
    <row r="78" spans="1:33" ht="23.25" customHeight="1">
      <c r="B78" s="1787" t="s">
        <v>1727</v>
      </c>
      <c r="E78" s="2524" t="s">
        <v>1729</v>
      </c>
      <c r="F78" s="780"/>
      <c r="G78" s="779"/>
      <c r="H78" s="780"/>
      <c r="I78" s="780"/>
      <c r="J78" s="778"/>
      <c r="K78" s="778"/>
      <c r="L78" s="780"/>
      <c r="M78" s="780"/>
      <c r="N78" s="780"/>
      <c r="O78" s="781"/>
    </row>
    <row r="79" spans="1:33" ht="15.95" customHeight="1">
      <c r="B79" s="2523" t="s">
        <v>1728</v>
      </c>
      <c r="E79" s="757"/>
      <c r="F79" s="792"/>
      <c r="G79" s="774">
        <v>3.3</v>
      </c>
      <c r="H79" s="723"/>
      <c r="I79" s="2520">
        <v>0.7</v>
      </c>
      <c r="J79" s="2521"/>
      <c r="K79" s="2522"/>
      <c r="L79" s="775">
        <v>0.9</v>
      </c>
      <c r="M79" s="742">
        <v>4</v>
      </c>
      <c r="N79" s="742">
        <v>0.6</v>
      </c>
      <c r="O79" s="771"/>
      <c r="P79" s="1772"/>
      <c r="Q79" s="1771">
        <f>I79/L79</f>
        <v>0.77777777777777768</v>
      </c>
      <c r="R79" s="1769">
        <f t="shared" ref="R79" si="34">L79/$L79</f>
        <v>1</v>
      </c>
      <c r="S79" s="1769">
        <f t="shared" ref="S79" si="35">M79/$L79</f>
        <v>4.4444444444444446</v>
      </c>
      <c r="T79" s="782">
        <f t="shared" ref="T79" si="36">N79/$L79</f>
        <v>0.66666666666666663</v>
      </c>
      <c r="U79" s="782"/>
      <c r="AG79" s="720" t="s">
        <v>1835</v>
      </c>
    </row>
    <row r="81" spans="2:2" ht="15.95" customHeight="1">
      <c r="B81" s="2501" t="s">
        <v>1704</v>
      </c>
    </row>
  </sheetData>
  <sheetProtection algorithmName="SHA-512" hashValue="qD0dap/yFG+/WaNyc/52/BLJvpZaKA++GSrz0SBBZrcr7EAIl+mgeiKCIOBXlzT6PsL4ZKjOnxmVnQdPt6yOFg==" saltValue="AE2aUU+IrCYFuSHPVQV65Q==" spinCount="100000" sheet="1" objects="1" scenarios="1"/>
  <mergeCells count="2">
    <mergeCell ref="G4:K4"/>
    <mergeCell ref="I63:K63"/>
  </mergeCells>
  <phoneticPr fontId="73" type="noConversion"/>
  <conditionalFormatting sqref="D9:D10 D12:D13 D19:D20 D28:D29 D34:D35 D25:D26">
    <cfRule type="cellIs" dxfId="1" priority="1" stopIfTrue="1" operator="greaterThan">
      <formula>1</formula>
    </cfRule>
    <cfRule type="cellIs" dxfId="0" priority="2" stopIfTrue="1" operator="greaterThanOrEqual">
      <formula>0</formula>
    </cfRule>
  </conditionalFormatting>
  <pageMargins left="0.74803149606299213" right="0" top="0.19685039370078741" bottom="0.31496062992125984" header="0.15748031496062992" footer="0"/>
  <pageSetup paperSize="9" fitToHeight="0" orientation="portrait" horizontalDpi="1200" verticalDpi="1200" r:id="rId1"/>
  <headerFooter alignWithMargins="0">
    <oddFooter>&amp;L&amp;"Arial,Standard"&amp;8BBZ Arenenberg&amp;C&amp;"Arial,Standard"&amp;8&amp;D&amp;R&amp;"Arial Narrow,Standard"&amp;8&amp;F \ &amp;A</oddFooter>
  </headerFooter>
  <rowBreaks count="1" manualBreakCount="1">
    <brk id="55" min="1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91</vt:i4>
      </vt:variant>
    </vt:vector>
  </HeadingPairs>
  <TitlesOfParts>
    <vt:vector size="98" baseType="lpstr">
      <vt:lpstr>Suisse_Bilanz_1.20</vt:lpstr>
      <vt:lpstr>GMF_1.11</vt:lpstr>
      <vt:lpstr>Einsatz fremde Dünger</vt:lpstr>
      <vt:lpstr>Daten</vt:lpstr>
      <vt:lpstr>Lineare Korrektur</vt:lpstr>
      <vt:lpstr>Grafik</vt:lpstr>
      <vt:lpstr>Richtwerte Hofdünger</vt:lpstr>
      <vt:lpstr>Acker</vt:lpstr>
      <vt:lpstr>BIO_DGVE_pro_ha</vt:lpstr>
      <vt:lpstr>BIO_DGVE_pro_ha_Liste</vt:lpstr>
      <vt:lpstr>Dauerkulturen</vt:lpstr>
      <vt:lpstr>Druck_3_statt_2_Seiten</vt:lpstr>
      <vt:lpstr>Daten!Druckbereich</vt:lpstr>
      <vt:lpstr>'Einsatz fremde Dünger'!Druckbereich</vt:lpstr>
      <vt:lpstr>GMF_1.11!Druckbereich</vt:lpstr>
      <vt:lpstr>Grafik!Druckbereich</vt:lpstr>
      <vt:lpstr>'Lineare Korrektur'!Druckbereich</vt:lpstr>
      <vt:lpstr>'Richtwerte Hofdünger'!Druckbereich</vt:lpstr>
      <vt:lpstr>Suisse_Bilanz_1.20!Druckbereich</vt:lpstr>
      <vt:lpstr>Druckbereich</vt:lpstr>
      <vt:lpstr>Druckbereich_Grafik</vt:lpstr>
      <vt:lpstr>Daten!Drucktitel</vt:lpstr>
      <vt:lpstr>'Lineare Korrektur'!Drucktitel</vt:lpstr>
      <vt:lpstr>Dünger</vt:lpstr>
      <vt:lpstr>Einheit</vt:lpstr>
      <vt:lpstr>ER_Gemuese</vt:lpstr>
      <vt:lpstr>ER_Gemuese_NPKMg</vt:lpstr>
      <vt:lpstr>Gemüse</vt:lpstr>
      <vt:lpstr>Getreide_GPS</vt:lpstr>
      <vt:lpstr>GF_Zeile</vt:lpstr>
      <vt:lpstr>GMF_Gebiet</vt:lpstr>
      <vt:lpstr>GMF_IE_Zeile</vt:lpstr>
      <vt:lpstr>GMF_Milchkuh_Zeile</vt:lpstr>
      <vt:lpstr>GMF_Milchschaf</vt:lpstr>
      <vt:lpstr>GMF_Milchschaf_Zeile</vt:lpstr>
      <vt:lpstr>GMF_Milchziege</vt:lpstr>
      <vt:lpstr>GMF_Milchziege_Zeile</vt:lpstr>
      <vt:lpstr>GMF_Rindviehmast_Zeile</vt:lpstr>
      <vt:lpstr>GMF_Start</vt:lpstr>
      <vt:lpstr>GMF_Tiere_Zeile</vt:lpstr>
      <vt:lpstr>Grundfutter_aFuFl</vt:lpstr>
      <vt:lpstr>Grundfutter_Arten</vt:lpstr>
      <vt:lpstr>Grundfutter_Liste</vt:lpstr>
      <vt:lpstr>Hofd_Milchkuh_Zeile</vt:lpstr>
      <vt:lpstr>Hofd_Milchschaf</vt:lpstr>
      <vt:lpstr>Hofd_Milchschaf_Zeile</vt:lpstr>
      <vt:lpstr>Hofd_Milchziege</vt:lpstr>
      <vt:lpstr>Hofd_Milchziege_Zeile</vt:lpstr>
      <vt:lpstr>Hofd_Rindviehmast_Zeile</vt:lpstr>
      <vt:lpstr>HofdIE</vt:lpstr>
      <vt:lpstr>Hofdünger</vt:lpstr>
      <vt:lpstr>ImExport</vt:lpstr>
      <vt:lpstr>Kompost</vt:lpstr>
      <vt:lpstr>Kulturen_Acker</vt:lpstr>
      <vt:lpstr>Kulturen_Dauerkulturen</vt:lpstr>
      <vt:lpstr>Kulturen_Gd</vt:lpstr>
      <vt:lpstr>Kulturen_Gd_und_Gemüse</vt:lpstr>
      <vt:lpstr>Kulturen_Gemüse</vt:lpstr>
      <vt:lpstr>Kulturen_GF</vt:lpstr>
      <vt:lpstr>Kulturen_GF_Liste</vt:lpstr>
      <vt:lpstr>LinKorr</vt:lpstr>
      <vt:lpstr>Milchkuh_Zeile</vt:lpstr>
      <vt:lpstr>Milchschaf</vt:lpstr>
      <vt:lpstr>Milchschaf_Anzahl</vt:lpstr>
      <vt:lpstr>Milchschaf_Zeile</vt:lpstr>
      <vt:lpstr>Milchziege</vt:lpstr>
      <vt:lpstr>Milchziege_Anzahl</vt:lpstr>
      <vt:lpstr>Milchziege_Zeile</vt:lpstr>
      <vt:lpstr>Name_SB_3.Seite</vt:lpstr>
      <vt:lpstr>org_HD</vt:lpstr>
      <vt:lpstr>Produktions_Art</vt:lpstr>
      <vt:lpstr>Rindviehmast</vt:lpstr>
      <vt:lpstr>Rindviehmast_Titel</vt:lpstr>
      <vt:lpstr>Rindviehmast_Zeile</vt:lpstr>
      <vt:lpstr>Samenproduktion</vt:lpstr>
      <vt:lpstr>Start</vt:lpstr>
      <vt:lpstr>Texte</vt:lpstr>
      <vt:lpstr>Tiere</vt:lpstr>
      <vt:lpstr>Tierkat_IE</vt:lpstr>
      <vt:lpstr>Tierkategorien</vt:lpstr>
      <vt:lpstr>Unterschrift</vt:lpstr>
      <vt:lpstr>vergärte_HofD_flü_Bezeichnung</vt:lpstr>
      <vt:lpstr>vergärte_Recyclingdünger_flü_Bezeichnung</vt:lpstr>
      <vt:lpstr>Vergärungsprodukte_fest</vt:lpstr>
      <vt:lpstr>Vergärungsprodukte_flüssig</vt:lpstr>
      <vt:lpstr>VergProd_fest</vt:lpstr>
      <vt:lpstr>VergProd_fest_Bezeichnung</vt:lpstr>
      <vt:lpstr>VergProd_fest_end</vt:lpstr>
      <vt:lpstr>VergProd_fest_Zeile</vt:lpstr>
      <vt:lpstr>VergProd_flü_Bezeichnung</vt:lpstr>
      <vt:lpstr>VergProd_flü_end</vt:lpstr>
      <vt:lpstr>VergProd_flü_RecD_Zeile</vt:lpstr>
      <vt:lpstr>VergProd_flü_vgHD_Zeile</vt:lpstr>
      <vt:lpstr>VergProd_flü_Zeile</vt:lpstr>
      <vt:lpstr>VergProd_flüssig</vt:lpstr>
      <vt:lpstr>Wiesen_Ertrag_Max</vt:lpstr>
      <vt:lpstr>ZuWegHofdünger</vt:lpstr>
      <vt:lpstr>Zweitkulturen</vt:lpstr>
    </vt:vector>
  </TitlesOfParts>
  <Company>BBZ Arenenberg, Acker- und Futterbau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Suisse-Bilanz_1.20_inkl. GMF1.11_TG_.xltm</dc:title>
  <dc:subject>Suisse-Bilanz, GMF und Hofdüngeranfall</dc:subject>
  <dc:creator>Affolter Gregor</dc:creator>
  <cp:keywords>Nährstoffbilanz, öLN, Hofdünger</cp:keywords>
  <dc:description>copyright by BBZ Arenenberg</dc:description>
  <cp:lastModifiedBy>Furrer Fabian</cp:lastModifiedBy>
  <cp:revision>1</cp:revision>
  <cp:lastPrinted>2026-03-10T09:45:30Z</cp:lastPrinted>
  <dcterms:created xsi:type="dcterms:W3CDTF">2002-10-29T15:00:53Z</dcterms:created>
  <dcterms:modified xsi:type="dcterms:W3CDTF">2026-03-10T09:47:20Z</dcterms:modified>
  <cp:category>Excel_Mappe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64440492-4C8B-11D1-8B70-080036B11A03}" pid="4">
    <vt:lpwstr>BBZ Arenenberg</vt:lpwstr>
  </property>
  <property fmtid="{D5CDD505-2E9C-101B-9397-08002B2CF9AE}" pid="2" name="FSC#FSCIBISDOCPROPS@15.1400:TopLevelDossierTitel">
    <vt:lpwstr>Nährstoffbilanz</vt:lpwstr>
  </property>
  <property fmtid="{D5CDD505-2E9C-101B-9397-08002B2CF9AE}" pid="3" name="FSC#COOELAK@1.1001:CurrentUserEmail">
    <vt:lpwstr>gregor.affolter@tg.ch</vt:lpwstr>
  </property>
  <property fmtid="{D5CDD505-2E9C-101B-9397-08002B2CF9AE}" pid="4" name="Herausgeber">
    <vt:lpwstr>BBZ Arenenberg</vt:lpwstr>
  </property>
  <property fmtid="{D5CDD505-2E9C-101B-9397-08002B2CF9AE}" pid="5" name="Bearbeiter">
    <vt:lpwstr>Gregor Affolter</vt:lpwstr>
  </property>
  <property fmtid="{D5CDD505-2E9C-101B-9397-08002B2CF9AE}" pid="6" name="Erstellt von">
    <vt:lpwstr>Gregor Affolter, Daniel Nyfeler</vt:lpwstr>
  </property>
  <property fmtid="{D5CDD505-2E9C-101B-9397-08002B2CF9AE}" pid="7" name="Besitzer">
    <vt:lpwstr>BBZ Arenenberg</vt:lpwstr>
  </property>
  <property fmtid="{D5CDD505-2E9C-101B-9397-08002B2CF9AE}" pid="8" name="Hauptabteilung">
    <vt:lpwstr>Acker- und Futterbau</vt:lpwstr>
  </property>
  <property fmtid="{D5CDD505-2E9C-101B-9397-08002B2CF9AE}" pid="9" name="Telefonnummer">
    <vt:lpwstr>071 663 32 15</vt:lpwstr>
  </property>
</Properties>
</file>