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vow05\AppData\Roaming\OpenText\DM\Temp\"/>
    </mc:Choice>
  </mc:AlternateContent>
  <bookViews>
    <workbookView xWindow="0" yWindow="13200" windowWidth="28800" windowHeight="915" tabRatio="908"/>
  </bookViews>
  <sheets>
    <sheet name="Grundeinstellungen" sheetId="24" r:id="rId1"/>
    <sheet name="Kanton" sheetId="25" r:id="rId2"/>
    <sheet name="Sarnen" sheetId="3" r:id="rId3"/>
    <sheet name="Kerns" sheetId="17" r:id="rId4"/>
    <sheet name="Sachseln" sheetId="19" r:id="rId5"/>
    <sheet name="Alpnach" sheetId="20" r:id="rId6"/>
    <sheet name="Giswil" sheetId="21" r:id="rId7"/>
    <sheet name="Lungern" sheetId="22" r:id="rId8"/>
    <sheet name="Engelberg" sheetId="23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9" l="1"/>
  <c r="I17" i="19" s="1"/>
  <c r="J17" i="19" s="1"/>
  <c r="K17" i="19" s="1"/>
  <c r="G17" i="19"/>
  <c r="I18" i="3" l="1"/>
  <c r="G18" i="3"/>
  <c r="G16" i="3"/>
  <c r="I34" i="22" l="1"/>
  <c r="I34" i="17"/>
  <c r="I34" i="3"/>
  <c r="I37" i="25"/>
  <c r="K45" i="23"/>
  <c r="J45" i="23"/>
  <c r="I45" i="23"/>
  <c r="H45" i="23"/>
  <c r="G45" i="23"/>
  <c r="F45" i="23"/>
  <c r="K45" i="22"/>
  <c r="J45" i="22"/>
  <c r="I45" i="22"/>
  <c r="H45" i="22"/>
  <c r="G45" i="22"/>
  <c r="F45" i="22"/>
  <c r="G45" i="21"/>
  <c r="H45" i="21"/>
  <c r="I45" i="21"/>
  <c r="J45" i="21"/>
  <c r="K45" i="21"/>
  <c r="F45" i="21"/>
  <c r="G46" i="20"/>
  <c r="H46" i="20"/>
  <c r="I46" i="20"/>
  <c r="J46" i="20"/>
  <c r="K46" i="20"/>
  <c r="F46" i="20"/>
  <c r="K46" i="19"/>
  <c r="J46" i="19"/>
  <c r="I46" i="19"/>
  <c r="H46" i="19"/>
  <c r="G46" i="19"/>
  <c r="F46" i="19"/>
  <c r="K45" i="17"/>
  <c r="J45" i="17"/>
  <c r="I45" i="17"/>
  <c r="H45" i="17"/>
  <c r="G45" i="17"/>
  <c r="F45" i="17"/>
  <c r="G45" i="3"/>
  <c r="H45" i="3"/>
  <c r="I45" i="3"/>
  <c r="J45" i="3"/>
  <c r="K45" i="3"/>
  <c r="F45" i="3"/>
  <c r="G48" i="25"/>
  <c r="H48" i="25"/>
  <c r="I48" i="25"/>
  <c r="J48" i="25"/>
  <c r="K48" i="25"/>
  <c r="F48" i="25"/>
  <c r="AC17" i="24"/>
  <c r="Y17" i="24"/>
  <c r="I34" i="23" s="1"/>
  <c r="AC15" i="24"/>
  <c r="AB15" i="24"/>
  <c r="AA15" i="24"/>
  <c r="Z15" i="24"/>
  <c r="Y15" i="24"/>
  <c r="X15" i="24"/>
  <c r="AC8" i="24"/>
  <c r="Y8" i="24"/>
  <c r="AC6" i="24"/>
  <c r="AB6" i="24"/>
  <c r="AA6" i="24"/>
  <c r="Z6" i="24"/>
  <c r="Y6" i="24"/>
  <c r="X6" i="24"/>
  <c r="I35" i="20" l="1"/>
  <c r="I34" i="21"/>
  <c r="K22" i="19"/>
  <c r="J22" i="19"/>
  <c r="I22" i="19"/>
  <c r="F13" i="19" l="1"/>
  <c r="H43" i="23" l="1"/>
  <c r="H43" i="22"/>
  <c r="H43" i="21"/>
  <c r="H44" i="20"/>
  <c r="H43" i="17"/>
  <c r="H43" i="3"/>
  <c r="H46" i="25"/>
  <c r="K19" i="23" l="1"/>
  <c r="J19" i="23"/>
  <c r="I19" i="23"/>
  <c r="H19" i="23"/>
  <c r="G19" i="23"/>
  <c r="F19" i="23"/>
  <c r="K19" i="22"/>
  <c r="J19" i="22"/>
  <c r="I19" i="22"/>
  <c r="H19" i="22"/>
  <c r="G19" i="22"/>
  <c r="F19" i="22"/>
  <c r="H19" i="21"/>
  <c r="G19" i="21"/>
  <c r="F19" i="21"/>
  <c r="F18" i="21"/>
  <c r="K19" i="20"/>
  <c r="J19" i="20"/>
  <c r="I19" i="20"/>
  <c r="H19" i="20"/>
  <c r="G19" i="20"/>
  <c r="F19" i="20"/>
  <c r="F20" i="19"/>
  <c r="K19" i="17"/>
  <c r="J19" i="17"/>
  <c r="I19" i="17"/>
  <c r="H19" i="17"/>
  <c r="G19" i="17"/>
  <c r="F19" i="17"/>
  <c r="I19" i="3"/>
  <c r="H19" i="3"/>
  <c r="G19" i="3"/>
  <c r="F19" i="3"/>
  <c r="K19" i="25"/>
  <c r="J19" i="25"/>
  <c r="I19" i="25"/>
  <c r="H19" i="25"/>
  <c r="G19" i="25"/>
  <c r="F19" i="25"/>
  <c r="F18" i="25"/>
  <c r="F27" i="25"/>
  <c r="J26" i="25" l="1"/>
  <c r="I27" i="25"/>
  <c r="H27" i="25"/>
  <c r="G27" i="25"/>
  <c r="K23" i="25"/>
  <c r="J23" i="25"/>
  <c r="I23" i="25"/>
  <c r="K26" i="25" l="1"/>
  <c r="K27" i="25" s="1"/>
  <c r="J27" i="25"/>
  <c r="K47" i="19" l="1"/>
  <c r="F49" i="25"/>
  <c r="K30" i="25"/>
  <c r="J30" i="25"/>
  <c r="I30" i="25"/>
  <c r="H30" i="25"/>
  <c r="G30" i="25"/>
  <c r="F30" i="25"/>
  <c r="G18" i="25"/>
  <c r="K12" i="25"/>
  <c r="J12" i="25"/>
  <c r="I12" i="25"/>
  <c r="H12" i="25"/>
  <c r="G12" i="25"/>
  <c r="F12" i="25"/>
  <c r="G49" i="25" l="1"/>
  <c r="J47" i="19"/>
  <c r="I47" i="19"/>
  <c r="H47" i="19"/>
  <c r="G47" i="19"/>
  <c r="F47" i="19"/>
  <c r="H41" i="19"/>
  <c r="H43" i="19" s="1"/>
  <c r="K47" i="20"/>
  <c r="J47" i="20"/>
  <c r="I47" i="20"/>
  <c r="H47" i="20"/>
  <c r="G47" i="20"/>
  <c r="F47" i="20"/>
  <c r="H41" i="20"/>
  <c r="H43" i="20" s="1"/>
  <c r="I38" i="20" s="1"/>
  <c r="F46" i="21"/>
  <c r="H46" i="22"/>
  <c r="G46" i="22"/>
  <c r="F46" i="22"/>
  <c r="H40" i="22"/>
  <c r="H42" i="22" s="1"/>
  <c r="I37" i="22" s="1"/>
  <c r="H46" i="23"/>
  <c r="G46" i="23"/>
  <c r="F46" i="23"/>
  <c r="H40" i="23"/>
  <c r="H42" i="23" s="1"/>
  <c r="I37" i="23" s="1"/>
  <c r="H46" i="17"/>
  <c r="G46" i="17"/>
  <c r="F46" i="17"/>
  <c r="H40" i="17"/>
  <c r="H42" i="17" s="1"/>
  <c r="I37" i="17" s="1"/>
  <c r="I35" i="19" l="1"/>
  <c r="I38" i="19" s="1"/>
  <c r="I39" i="19" s="1"/>
  <c r="H44" i="19"/>
  <c r="H18" i="25"/>
  <c r="H49" i="25"/>
  <c r="H43" i="25"/>
  <c r="H45" i="25" s="1"/>
  <c r="I39" i="20"/>
  <c r="I41" i="20" s="1"/>
  <c r="I43" i="20" s="1"/>
  <c r="I38" i="17"/>
  <c r="I40" i="17" s="1"/>
  <c r="I38" i="23"/>
  <c r="I40" i="23" s="1"/>
  <c r="I41" i="19" l="1"/>
  <c r="I43" i="19" s="1"/>
  <c r="J35" i="19" s="1"/>
  <c r="J38" i="19" s="1"/>
  <c r="I44" i="20"/>
  <c r="J35" i="20"/>
  <c r="J38" i="20" s="1"/>
  <c r="I40" i="25"/>
  <c r="I49" i="25"/>
  <c r="I18" i="25"/>
  <c r="F46" i="3"/>
  <c r="H46" i="3"/>
  <c r="I46" i="3"/>
  <c r="G46" i="3"/>
  <c r="H40" i="3"/>
  <c r="H42" i="3" s="1"/>
  <c r="I37" i="3" s="1"/>
  <c r="I38" i="3" s="1"/>
  <c r="I40" i="3" s="1"/>
  <c r="I44" i="19" l="1"/>
  <c r="I41" i="25"/>
  <c r="J39" i="20"/>
  <c r="J41" i="20" s="1"/>
  <c r="J43" i="20" s="1"/>
  <c r="J39" i="19"/>
  <c r="J41" i="19" s="1"/>
  <c r="J18" i="25"/>
  <c r="J49" i="25"/>
  <c r="I42" i="3"/>
  <c r="J34" i="3" s="1"/>
  <c r="H16" i="20"/>
  <c r="I16" i="20" s="1"/>
  <c r="J16" i="20" s="1"/>
  <c r="K16" i="20" s="1"/>
  <c r="G16" i="20"/>
  <c r="G16" i="22"/>
  <c r="H16" i="22" s="1"/>
  <c r="G16" i="23"/>
  <c r="H16" i="23" s="1"/>
  <c r="I16" i="23" s="1"/>
  <c r="H16" i="17"/>
  <c r="I16" i="17"/>
  <c r="G16" i="17"/>
  <c r="H16" i="3"/>
  <c r="J43" i="19" l="1"/>
  <c r="J44" i="20"/>
  <c r="K35" i="20"/>
  <c r="K38" i="20" s="1"/>
  <c r="J44" i="19"/>
  <c r="K35" i="19"/>
  <c r="K38" i="19" s="1"/>
  <c r="I43" i="3"/>
  <c r="I43" i="25"/>
  <c r="I45" i="25" s="1"/>
  <c r="J37" i="25" s="1"/>
  <c r="K18" i="25"/>
  <c r="K49" i="25"/>
  <c r="J16" i="23"/>
  <c r="I42" i="23"/>
  <c r="I46" i="23"/>
  <c r="I46" i="17"/>
  <c r="I42" i="17"/>
  <c r="J16" i="17"/>
  <c r="K27" i="23"/>
  <c r="J27" i="23"/>
  <c r="I27" i="23"/>
  <c r="H27" i="23"/>
  <c r="G27" i="23"/>
  <c r="F27" i="23"/>
  <c r="K24" i="23"/>
  <c r="J24" i="23"/>
  <c r="I24" i="23"/>
  <c r="H24" i="23"/>
  <c r="G24" i="23"/>
  <c r="F24" i="23"/>
  <c r="J18" i="23"/>
  <c r="I18" i="23"/>
  <c r="H18" i="23"/>
  <c r="G18" i="23"/>
  <c r="F18" i="23"/>
  <c r="K12" i="23"/>
  <c r="J12" i="23"/>
  <c r="I12" i="23"/>
  <c r="H12" i="23"/>
  <c r="G12" i="23"/>
  <c r="F12" i="23"/>
  <c r="K27" i="22"/>
  <c r="J27" i="22"/>
  <c r="I27" i="22"/>
  <c r="H27" i="22"/>
  <c r="G27" i="22"/>
  <c r="F27" i="22"/>
  <c r="K24" i="22"/>
  <c r="J24" i="22"/>
  <c r="I24" i="22"/>
  <c r="H24" i="22"/>
  <c r="G24" i="22"/>
  <c r="F24" i="22"/>
  <c r="H18" i="22"/>
  <c r="G18" i="22"/>
  <c r="F18" i="22"/>
  <c r="K12" i="22"/>
  <c r="J12" i="22"/>
  <c r="I12" i="22"/>
  <c r="I38" i="22" s="1"/>
  <c r="I40" i="22" s="1"/>
  <c r="H12" i="22"/>
  <c r="G12" i="22"/>
  <c r="F12" i="22"/>
  <c r="F12" i="21"/>
  <c r="K27" i="21"/>
  <c r="J27" i="21"/>
  <c r="I27" i="21"/>
  <c r="H27" i="21"/>
  <c r="G27" i="21"/>
  <c r="F27" i="21"/>
  <c r="K24" i="21"/>
  <c r="J24" i="21"/>
  <c r="I24" i="21"/>
  <c r="H24" i="21"/>
  <c r="G24" i="21"/>
  <c r="F24" i="21"/>
  <c r="K12" i="21"/>
  <c r="J12" i="21"/>
  <c r="I12" i="21"/>
  <c r="H12" i="21"/>
  <c r="G12" i="21"/>
  <c r="K28" i="20"/>
  <c r="J28" i="20"/>
  <c r="I28" i="20"/>
  <c r="H28" i="20"/>
  <c r="G28" i="20"/>
  <c r="F28" i="20"/>
  <c r="K25" i="20"/>
  <c r="J25" i="20"/>
  <c r="I25" i="20"/>
  <c r="H25" i="20"/>
  <c r="G25" i="20"/>
  <c r="F25" i="20"/>
  <c r="K18" i="20"/>
  <c r="J18" i="20"/>
  <c r="I18" i="20"/>
  <c r="H18" i="20"/>
  <c r="G18" i="20"/>
  <c r="F18" i="20"/>
  <c r="K12" i="20"/>
  <c r="J12" i="20"/>
  <c r="I12" i="20"/>
  <c r="H12" i="20"/>
  <c r="G12" i="20"/>
  <c r="F12" i="20"/>
  <c r="I43" i="23" l="1"/>
  <c r="J34" i="23"/>
  <c r="J37" i="23" s="1"/>
  <c r="I43" i="17"/>
  <c r="J34" i="17"/>
  <c r="J37" i="17" s="1"/>
  <c r="J40" i="25"/>
  <c r="J41" i="25" s="1"/>
  <c r="J43" i="25" s="1"/>
  <c r="J45" i="25" s="1"/>
  <c r="K37" i="25" s="1"/>
  <c r="I46" i="25"/>
  <c r="G16" i="21"/>
  <c r="G18" i="21" s="1"/>
  <c r="K39" i="20"/>
  <c r="K41" i="20" s="1"/>
  <c r="K43" i="20" s="1"/>
  <c r="K44" i="20" s="1"/>
  <c r="K39" i="19"/>
  <c r="K16" i="23"/>
  <c r="J46" i="23"/>
  <c r="I16" i="22"/>
  <c r="J46" i="17"/>
  <c r="K16" i="17"/>
  <c r="K19" i="19"/>
  <c r="K20" i="19" s="1"/>
  <c r="J19" i="19"/>
  <c r="J20" i="19" s="1"/>
  <c r="I19" i="19"/>
  <c r="I20" i="19" s="1"/>
  <c r="H19" i="19"/>
  <c r="H20" i="19" s="1"/>
  <c r="G19" i="19"/>
  <c r="G20" i="19" s="1"/>
  <c r="F19" i="19"/>
  <c r="J18" i="17"/>
  <c r="I18" i="17"/>
  <c r="H18" i="17"/>
  <c r="G18" i="17"/>
  <c r="F18" i="17"/>
  <c r="H18" i="3"/>
  <c r="F18" i="3"/>
  <c r="K28" i="19"/>
  <c r="J28" i="19"/>
  <c r="I28" i="19"/>
  <c r="H28" i="19"/>
  <c r="G28" i="19"/>
  <c r="F28" i="19"/>
  <c r="K25" i="19"/>
  <c r="J25" i="19"/>
  <c r="I25" i="19"/>
  <c r="H25" i="19"/>
  <c r="G25" i="19"/>
  <c r="F25" i="19"/>
  <c r="K13" i="19"/>
  <c r="J13" i="19"/>
  <c r="I13" i="19"/>
  <c r="H13" i="19"/>
  <c r="G13" i="19"/>
  <c r="K14" i="17"/>
  <c r="F12" i="17"/>
  <c r="K27" i="17"/>
  <c r="J27" i="17"/>
  <c r="I27" i="17"/>
  <c r="H27" i="17"/>
  <c r="G27" i="17"/>
  <c r="F27" i="17"/>
  <c r="K24" i="17"/>
  <c r="J24" i="17"/>
  <c r="I24" i="17"/>
  <c r="H24" i="17"/>
  <c r="G24" i="17"/>
  <c r="F24" i="17"/>
  <c r="K12" i="17"/>
  <c r="H12" i="17"/>
  <c r="G12" i="17"/>
  <c r="I24" i="3"/>
  <c r="F12" i="3"/>
  <c r="K41" i="19" l="1"/>
  <c r="K43" i="19" s="1"/>
  <c r="K44" i="19" s="1"/>
  <c r="K40" i="25"/>
  <c r="J46" i="25"/>
  <c r="G46" i="21"/>
  <c r="H16" i="21"/>
  <c r="H18" i="21" s="1"/>
  <c r="K41" i="25"/>
  <c r="J38" i="23"/>
  <c r="J40" i="23" s="1"/>
  <c r="J42" i="23" s="1"/>
  <c r="J38" i="17"/>
  <c r="J40" i="17" s="1"/>
  <c r="J42" i="17" s="1"/>
  <c r="K46" i="23"/>
  <c r="K18" i="23"/>
  <c r="J16" i="22"/>
  <c r="I46" i="22"/>
  <c r="I42" i="22"/>
  <c r="I18" i="22"/>
  <c r="K46" i="17"/>
  <c r="K18" i="17"/>
  <c r="J43" i="23" l="1"/>
  <c r="K34" i="23"/>
  <c r="K37" i="23" s="1"/>
  <c r="I43" i="22"/>
  <c r="J34" i="22"/>
  <c r="J37" i="22" s="1"/>
  <c r="J43" i="17"/>
  <c r="K34" i="17"/>
  <c r="K37" i="17" s="1"/>
  <c r="I16" i="21"/>
  <c r="I18" i="21" s="1"/>
  <c r="I19" i="21" s="1"/>
  <c r="H40" i="21"/>
  <c r="H46" i="21"/>
  <c r="K43" i="25"/>
  <c r="K45" i="25" s="1"/>
  <c r="K46" i="25" s="1"/>
  <c r="K16" i="22"/>
  <c r="J46" i="22"/>
  <c r="J18" i="22"/>
  <c r="H42" i="21" l="1"/>
  <c r="J16" i="21"/>
  <c r="J18" i="21" s="1"/>
  <c r="J19" i="21" s="1"/>
  <c r="I46" i="21"/>
  <c r="K38" i="23"/>
  <c r="K40" i="23" s="1"/>
  <c r="K42" i="23" s="1"/>
  <c r="K43" i="23" s="1"/>
  <c r="J38" i="22"/>
  <c r="J40" i="22" s="1"/>
  <c r="J42" i="22" s="1"/>
  <c r="K38" i="17"/>
  <c r="K40" i="17" s="1"/>
  <c r="K42" i="17" s="1"/>
  <c r="K43" i="17" s="1"/>
  <c r="K46" i="22"/>
  <c r="K18" i="22"/>
  <c r="J43" i="22" l="1"/>
  <c r="K34" i="22"/>
  <c r="K37" i="22" s="1"/>
  <c r="K16" i="21"/>
  <c r="J46" i="21"/>
  <c r="I37" i="21"/>
  <c r="I38" i="21" s="1"/>
  <c r="I40" i="21" s="1"/>
  <c r="I42" i="21" s="1"/>
  <c r="J34" i="21" s="1"/>
  <c r="J37" i="21" l="1"/>
  <c r="J38" i="21" s="1"/>
  <c r="J40" i="21" s="1"/>
  <c r="J42" i="21" s="1"/>
  <c r="K34" i="21" s="1"/>
  <c r="I43" i="21"/>
  <c r="K46" i="21"/>
  <c r="K18" i="21"/>
  <c r="K19" i="21" s="1"/>
  <c r="K38" i="22"/>
  <c r="K40" i="22" s="1"/>
  <c r="K42" i="22" s="1"/>
  <c r="K43" i="22" s="1"/>
  <c r="K37" i="21" l="1"/>
  <c r="K38" i="21" s="1"/>
  <c r="K40" i="21" s="1"/>
  <c r="K42" i="21" s="1"/>
  <c r="K43" i="21" s="1"/>
  <c r="J43" i="21"/>
  <c r="F27" i="3"/>
  <c r="G12" i="3" l="1"/>
  <c r="K12" i="3"/>
  <c r="K27" i="3"/>
  <c r="J27" i="3"/>
  <c r="I27" i="3"/>
  <c r="H27" i="3"/>
  <c r="G27" i="3"/>
  <c r="F24" i="3"/>
  <c r="K24" i="3"/>
  <c r="J24" i="3"/>
  <c r="H24" i="3"/>
  <c r="G24" i="3"/>
  <c r="J12" i="3" l="1"/>
  <c r="I12" i="3"/>
  <c r="I16" i="3" s="1"/>
  <c r="H12" i="3"/>
  <c r="J16" i="3" l="1"/>
  <c r="J46" i="3" s="1"/>
  <c r="K16" i="3" l="1"/>
  <c r="J18" i="3"/>
  <c r="J19" i="3" s="1"/>
  <c r="K18" i="3" l="1"/>
  <c r="K19" i="3" s="1"/>
  <c r="K46" i="3"/>
  <c r="J37" i="3"/>
  <c r="J38" i="3" l="1"/>
  <c r="J40" i="3" s="1"/>
  <c r="J42" i="3" s="1"/>
  <c r="J43" i="3" l="1"/>
  <c r="K34" i="3"/>
  <c r="K37" i="3" s="1"/>
  <c r="K38" i="3" l="1"/>
  <c r="K40" i="3" s="1"/>
  <c r="K42" i="3" s="1"/>
  <c r="K43" i="3" s="1"/>
</calcChain>
</file>

<file path=xl/sharedStrings.xml><?xml version="1.0" encoding="utf-8"?>
<sst xmlns="http://schemas.openxmlformats.org/spreadsheetml/2006/main" count="426" uniqueCount="79">
  <si>
    <t>Rechnung</t>
  </si>
  <si>
    <t>Budget</t>
  </si>
  <si>
    <t>Finanzplan</t>
  </si>
  <si>
    <t>operatives Ergebnis</t>
  </si>
  <si>
    <t>Schuldenbegrenzung: Budgetvorgabe aufgrund Nettoverschuldung</t>
  </si>
  <si>
    <t>Nettoinvestitionen</t>
  </si>
  <si>
    <t>Abschreibungen</t>
  </si>
  <si>
    <t>Nettoverschuldungsquotient</t>
  </si>
  <si>
    <t>Grundlagen</t>
  </si>
  <si>
    <t>Sarnen</t>
  </si>
  <si>
    <t>Total</t>
  </si>
  <si>
    <t>Netto</t>
  </si>
  <si>
    <t>Sachseln</t>
  </si>
  <si>
    <t>Giswil</t>
  </si>
  <si>
    <t>Kerns</t>
  </si>
  <si>
    <t>Alpnach</t>
  </si>
  <si>
    <t>Lungern</t>
  </si>
  <si>
    <t>Engelberg</t>
  </si>
  <si>
    <t>Fonds und Spezialfinanzierungen</t>
  </si>
  <si>
    <t>Budget 2020, 07.10.2019</t>
  </si>
  <si>
    <t>Fiskalertrag</t>
  </si>
  <si>
    <t>Finanzstatistik 2018</t>
  </si>
  <si>
    <t>Ausserordentlicher Aufwand</t>
  </si>
  <si>
    <t>Ausserordentlicher Ertrag</t>
  </si>
  <si>
    <t>Einwohnergemeinde</t>
  </si>
  <si>
    <t>Einlagen ins EK</t>
  </si>
  <si>
    <t>Entnahmen aus EK</t>
  </si>
  <si>
    <t xml:space="preserve">Gesamtergebnis </t>
  </si>
  <si>
    <t>(+ = Ertragsüberschuss, - = Aufwandüberschuss)</t>
  </si>
  <si>
    <t>zus. Abschr. auf D, B &amp; IB</t>
  </si>
  <si>
    <t>zus. Abschreibungen</t>
  </si>
  <si>
    <t>Abschreibungen VV</t>
  </si>
  <si>
    <t>Abschreibungen IB</t>
  </si>
  <si>
    <t>Einlagen in Fonds &amp; SF</t>
  </si>
  <si>
    <t>Entnahmen aus Fonds &amp; SF</t>
  </si>
  <si>
    <t>Budget 2020, 11.09.2019</t>
  </si>
  <si>
    <t>FiPla 2019-2025, 04.10.2018</t>
  </si>
  <si>
    <t>Budget 2020, 27.11.2019</t>
  </si>
  <si>
    <t>Budget 2020, undatiert</t>
  </si>
  <si>
    <t>FiPla 2020-2026, 02.12.2019</t>
  </si>
  <si>
    <t>Budget, 19.08.2019</t>
  </si>
  <si>
    <t>FiPla 2020-2024, 28.09.2018</t>
  </si>
  <si>
    <t>FiPla 2021-2030, 23.09.2019</t>
  </si>
  <si>
    <t>-</t>
  </si>
  <si>
    <t>Quellen:</t>
  </si>
  <si>
    <t>FiPla 2021-2025, 18.09.2019</t>
  </si>
  <si>
    <t>FiPla 2014-2026, 09/2019</t>
  </si>
  <si>
    <t>Budgetdefizit in Abhängigkeit des Nettoverschuldungsquotienten</t>
  </si>
  <si>
    <t>NVQ</t>
  </si>
  <si>
    <t>Kalkulation</t>
  </si>
  <si>
    <t>Basis NVQ Vorjahr</t>
  </si>
  <si>
    <t>Nettoschuld mit Schuldenbegrenzung</t>
  </si>
  <si>
    <t>Delta Verschuldung gemäss Planung</t>
  </si>
  <si>
    <t>Delta zu operativem Ergebnis gemäss Planung</t>
  </si>
  <si>
    <t>Nettoschuld (+) / Nettovermögen (-) gemäss Planung</t>
  </si>
  <si>
    <t>Obwalden</t>
  </si>
  <si>
    <t>Kanton</t>
  </si>
  <si>
    <t>Relatives maximales Budgetdefizit (+) bzw. relativer minimaler Budgetüberschuss (-) gemäss Schuldenbegrenzung</t>
  </si>
  <si>
    <t>Absolutes maximales Budgetdefizit (+) bzw. absoluter minimaler Budgetüberschuss (-) gemäss Schuldenbegrenzung</t>
  </si>
  <si>
    <t>Manuelle Korrektur</t>
  </si>
  <si>
    <t>RE/BU/FiPla</t>
  </si>
  <si>
    <t>Veränderung aufgrund Anpassung NI (Satz: 10 %)</t>
  </si>
  <si>
    <t>Beurteilung (&lt; 100 %: gut, 100 bis 150 %: genügend, &gt; 150 %: schlecht)</t>
  </si>
  <si>
    <t>Nettoverschuldungsquotient mit Schuldenbegrenzung [%]</t>
  </si>
  <si>
    <t>Mail 30.1.20 v. J. Zentner</t>
  </si>
  <si>
    <t>a.o. verschiedene Erträge</t>
  </si>
  <si>
    <t>[%]</t>
  </si>
  <si>
    <t>Vorgabe: NVQ = 0 % =&gt; BD = 3 %</t>
  </si>
  <si>
    <t>Vorgabe</t>
  </si>
  <si>
    <t xml:space="preserve">=&gt; </t>
  </si>
  <si>
    <t>BD</t>
  </si>
  <si>
    <t>Variabel</t>
  </si>
  <si>
    <t>Geradengleichung bei NVQ &gt; = 0 %:</t>
  </si>
  <si>
    <t>BD =</t>
  </si>
  <si>
    <t xml:space="preserve"> x NVQ + </t>
  </si>
  <si>
    <t>Gemeinden</t>
  </si>
  <si>
    <t>Vorgabe: NVQ = 0 % =&gt; BD = 10 %</t>
  </si>
  <si>
    <t>Maximal zulässige Verschuldung (150 % des Fiskalertrags)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</si>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</sst>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3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0" fontId="1" fillId="0" borderId="4" xfId="0" applyFont="1" applyBorder="1"/>
    <xf numFmtId="0" fontId="1" fillId="0" borderId="0" xfId="0" applyFont="1" applyBorder="1"/>
    <xf numFmtId="0" fontId="0" fillId="0" borderId="0" xfId="0" applyFill="1" applyBorder="1"/>
    <xf numFmtId="0" fontId="1" fillId="0" borderId="7" xfId="0" applyFont="1" applyBorder="1"/>
    <xf numFmtId="0" fontId="3" fillId="0" borderId="1" xfId="0" applyFont="1" applyBorder="1"/>
    <xf numFmtId="0" fontId="1" fillId="0" borderId="4" xfId="0" applyFont="1" applyFill="1" applyBorder="1"/>
    <xf numFmtId="0" fontId="1" fillId="0" borderId="0" xfId="0" applyFont="1" applyFill="1" applyBorder="1"/>
    <xf numFmtId="0" fontId="1" fillId="0" borderId="7" xfId="0" applyFont="1" applyFill="1" applyBorder="1"/>
    <xf numFmtId="0" fontId="5" fillId="0" borderId="4" xfId="0" applyFont="1" applyBorder="1"/>
    <xf numFmtId="0" fontId="5" fillId="0" borderId="6" xfId="0" applyFont="1" applyBorder="1"/>
    <xf numFmtId="164" fontId="0" fillId="0" borderId="0" xfId="1" applyNumberFormat="1" applyFont="1" applyBorder="1"/>
    <xf numFmtId="0" fontId="5" fillId="0" borderId="0" xfId="0" applyFont="1" applyBorder="1"/>
    <xf numFmtId="0" fontId="6" fillId="0" borderId="0" xfId="0" applyFont="1"/>
    <xf numFmtId="0" fontId="5" fillId="0" borderId="0" xfId="0" applyFont="1"/>
    <xf numFmtId="0" fontId="8" fillId="0" borderId="0" xfId="0" applyFont="1" applyBorder="1"/>
    <xf numFmtId="0" fontId="2" fillId="0" borderId="0" xfId="0" applyFont="1" applyAlignment="1">
      <alignment horizontal="right"/>
    </xf>
    <xf numFmtId="0" fontId="5" fillId="0" borderId="7" xfId="0" applyFont="1" applyBorder="1"/>
    <xf numFmtId="0" fontId="1" fillId="0" borderId="2" xfId="0" applyFont="1" applyBorder="1"/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0" fillId="4" borderId="0" xfId="0" applyFill="1"/>
    <xf numFmtId="3" fontId="0" fillId="5" borderId="0" xfId="0" applyNumberFormat="1" applyFill="1"/>
    <xf numFmtId="0" fontId="5" fillId="0" borderId="0" xfId="0" applyFont="1" applyFill="1" applyBorder="1"/>
    <xf numFmtId="0" fontId="7" fillId="0" borderId="1" xfId="0" applyFont="1" applyFill="1" applyBorder="1"/>
    <xf numFmtId="0" fontId="7" fillId="0" borderId="1" xfId="0" applyFont="1" applyBorder="1"/>
    <xf numFmtId="0" fontId="7" fillId="0" borderId="4" xfId="0" applyFont="1" applyBorder="1"/>
    <xf numFmtId="0" fontId="0" fillId="0" borderId="2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/>
    <xf numFmtId="0" fontId="0" fillId="0" borderId="7" xfId="0" applyFont="1" applyBorder="1" applyAlignment="1">
      <alignment horizontal="left"/>
    </xf>
    <xf numFmtId="0" fontId="0" fillId="0" borderId="0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1" fillId="0" borderId="0" xfId="0" applyFont="1" applyBorder="1" applyAlignment="1">
      <alignment horizontal="left"/>
    </xf>
    <xf numFmtId="0" fontId="0" fillId="0" borderId="4" xfId="0" applyFont="1" applyFill="1" applyBorder="1"/>
    <xf numFmtId="0" fontId="0" fillId="0" borderId="0" xfId="0" applyFont="1" applyFill="1" applyBorder="1" applyAlignment="1">
      <alignment horizontal="left"/>
    </xf>
    <xf numFmtId="3" fontId="0" fillId="6" borderId="0" xfId="0" applyNumberFormat="1" applyFill="1"/>
    <xf numFmtId="3" fontId="1" fillId="6" borderId="0" xfId="0" applyNumberFormat="1" applyFont="1" applyFill="1" applyBorder="1" applyAlignment="1">
      <alignment horizontal="right" indent="1"/>
    </xf>
    <xf numFmtId="3" fontId="10" fillId="6" borderId="0" xfId="0" applyNumberFormat="1" applyFont="1" applyFill="1" applyBorder="1" applyAlignment="1">
      <alignment horizontal="right" indent="1"/>
    </xf>
    <xf numFmtId="3" fontId="1" fillId="5" borderId="0" xfId="0" applyNumberFormat="1" applyFont="1" applyFill="1" applyBorder="1" applyAlignment="1">
      <alignment horizontal="right" indent="1"/>
    </xf>
    <xf numFmtId="3" fontId="1" fillId="5" borderId="5" xfId="0" applyNumberFormat="1" applyFont="1" applyFill="1" applyBorder="1" applyAlignment="1">
      <alignment horizontal="right" indent="1"/>
    </xf>
    <xf numFmtId="3" fontId="0" fillId="6" borderId="0" xfId="0" applyNumberFormat="1" applyFont="1" applyFill="1" applyBorder="1" applyAlignment="1">
      <alignment horizontal="right" indent="1"/>
    </xf>
    <xf numFmtId="3" fontId="9" fillId="6" borderId="0" xfId="0" applyNumberFormat="1" applyFont="1" applyFill="1" applyBorder="1" applyAlignment="1">
      <alignment horizontal="right" indent="1"/>
    </xf>
    <xf numFmtId="3" fontId="0" fillId="5" borderId="0" xfId="0" applyNumberFormat="1" applyFont="1" applyFill="1" applyBorder="1" applyAlignment="1">
      <alignment horizontal="right" indent="1"/>
    </xf>
    <xf numFmtId="3" fontId="0" fillId="5" borderId="5" xfId="0" applyNumberFormat="1" applyFont="1" applyFill="1" applyBorder="1" applyAlignment="1">
      <alignment horizontal="right" indent="1"/>
    </xf>
    <xf numFmtId="164" fontId="9" fillId="6" borderId="0" xfId="1" applyNumberFormat="1" applyFont="1" applyFill="1" applyBorder="1" applyAlignment="1">
      <alignment horizontal="right" indent="1"/>
    </xf>
    <xf numFmtId="164" fontId="9" fillId="5" borderId="0" xfId="1" applyNumberFormat="1" applyFont="1" applyFill="1" applyBorder="1" applyAlignment="1">
      <alignment horizontal="right" indent="1"/>
    </xf>
    <xf numFmtId="164" fontId="9" fillId="5" borderId="5" xfId="1" applyNumberFormat="1" applyFont="1" applyFill="1" applyBorder="1" applyAlignment="1">
      <alignment horizontal="right" indent="1"/>
    </xf>
    <xf numFmtId="3" fontId="1" fillId="0" borderId="0" xfId="0" applyNumberFormat="1" applyFont="1" applyBorder="1" applyAlignment="1">
      <alignment horizontal="right" indent="1"/>
    </xf>
    <xf numFmtId="3" fontId="10" fillId="0" borderId="0" xfId="0" applyNumberFormat="1" applyFont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1"/>
    </xf>
    <xf numFmtId="0" fontId="0" fillId="0" borderId="0" xfId="0" applyFont="1" applyBorder="1" applyAlignment="1">
      <alignment horizontal="right" indent="1"/>
    </xf>
    <xf numFmtId="0" fontId="9" fillId="0" borderId="0" xfId="0" applyFont="1" applyBorder="1" applyAlignment="1">
      <alignment horizontal="right" indent="1"/>
    </xf>
    <xf numFmtId="0" fontId="0" fillId="0" borderId="5" xfId="0" applyFont="1" applyBorder="1" applyAlignment="1">
      <alignment horizontal="right" indent="1"/>
    </xf>
    <xf numFmtId="3" fontId="1" fillId="4" borderId="0" xfId="0" applyNumberFormat="1" applyFont="1" applyFill="1" applyBorder="1" applyAlignment="1">
      <alignment horizontal="right" indent="1"/>
    </xf>
    <xf numFmtId="3" fontId="10" fillId="3" borderId="0" xfId="0" applyNumberFormat="1" applyFont="1" applyFill="1" applyBorder="1" applyAlignment="1">
      <alignment horizontal="right" indent="1"/>
    </xf>
    <xf numFmtId="10" fontId="10" fillId="0" borderId="7" xfId="0" applyNumberFormat="1" applyFont="1" applyFill="1" applyBorder="1" applyAlignment="1">
      <alignment horizontal="right" indent="1"/>
    </xf>
    <xf numFmtId="10" fontId="10" fillId="0" borderId="8" xfId="0" applyNumberFormat="1" applyFont="1" applyFill="1" applyBorder="1" applyAlignment="1">
      <alignment horizontal="right" indent="1"/>
    </xf>
    <xf numFmtId="0" fontId="0" fillId="0" borderId="0" xfId="0" applyAlignment="1">
      <alignment horizontal="right" indent="1"/>
    </xf>
    <xf numFmtId="0" fontId="9" fillId="0" borderId="0" xfId="0" applyFont="1" applyAlignment="1">
      <alignment horizontal="right" indent="1"/>
    </xf>
    <xf numFmtId="164" fontId="5" fillId="6" borderId="2" xfId="1" applyNumberFormat="1" applyFont="1" applyFill="1" applyBorder="1" applyAlignment="1">
      <alignment horizontal="right" indent="1"/>
    </xf>
    <xf numFmtId="164" fontId="11" fillId="6" borderId="2" xfId="1" applyNumberFormat="1" applyFont="1" applyFill="1" applyBorder="1" applyAlignment="1">
      <alignment horizontal="right" indent="1"/>
    </xf>
    <xf numFmtId="164" fontId="5" fillId="5" borderId="2" xfId="1" applyNumberFormat="1" applyFont="1" applyFill="1" applyBorder="1" applyAlignment="1">
      <alignment horizontal="right" indent="1"/>
    </xf>
    <xf numFmtId="164" fontId="5" fillId="5" borderId="3" xfId="1" applyNumberFormat="1" applyFont="1" applyFill="1" applyBorder="1" applyAlignment="1">
      <alignment horizontal="right" indent="1"/>
    </xf>
    <xf numFmtId="164" fontId="5" fillId="6" borderId="0" xfId="1" applyNumberFormat="1" applyFont="1" applyFill="1" applyBorder="1" applyAlignment="1">
      <alignment horizontal="right" indent="1"/>
    </xf>
    <xf numFmtId="164" fontId="11" fillId="6" borderId="0" xfId="1" applyNumberFormat="1" applyFont="1" applyFill="1" applyBorder="1" applyAlignment="1">
      <alignment horizontal="right" indent="1"/>
    </xf>
    <xf numFmtId="164" fontId="5" fillId="5" borderId="0" xfId="1" applyNumberFormat="1" applyFont="1" applyFill="1" applyBorder="1" applyAlignment="1">
      <alignment horizontal="right" indent="1"/>
    </xf>
    <xf numFmtId="164" fontId="5" fillId="5" borderId="5" xfId="1" applyNumberFormat="1" applyFont="1" applyFill="1" applyBorder="1" applyAlignment="1">
      <alignment horizontal="right" indent="1"/>
    </xf>
    <xf numFmtId="164" fontId="5" fillId="0" borderId="7" xfId="1" applyNumberFormat="1" applyFont="1" applyBorder="1" applyAlignment="1">
      <alignment horizontal="right" indent="1"/>
    </xf>
    <xf numFmtId="164" fontId="11" fillId="0" borderId="7" xfId="1" applyNumberFormat="1" applyFont="1" applyBorder="1" applyAlignment="1">
      <alignment horizontal="right" indent="1"/>
    </xf>
    <xf numFmtId="164" fontId="5" fillId="0" borderId="8" xfId="1" applyNumberFormat="1" applyFont="1" applyBorder="1" applyAlignment="1">
      <alignment horizontal="right" indent="1"/>
    </xf>
    <xf numFmtId="164" fontId="5" fillId="3" borderId="0" xfId="1" applyNumberFormat="1" applyFont="1" applyFill="1" applyBorder="1" applyAlignment="1">
      <alignment horizontal="right" indent="1"/>
    </xf>
    <xf numFmtId="164" fontId="5" fillId="3" borderId="5" xfId="1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2" fontId="0" fillId="2" borderId="0" xfId="0" applyNumberFormat="1" applyFill="1"/>
    <xf numFmtId="0" fontId="0" fillId="0" borderId="0" xfId="0" quotePrefix="1"/>
    <xf numFmtId="0" fontId="0" fillId="0" borderId="0" xfId="0" applyFont="1"/>
    <xf numFmtId="2" fontId="0" fillId="0" borderId="0" xfId="0" applyNumberFormat="1" applyFont="1"/>
    <xf numFmtId="0" fontId="0" fillId="0" borderId="0" xfId="0" applyBorder="1" applyAlignment="1">
      <alignment horizontal="left" indent="2"/>
    </xf>
    <xf numFmtId="3" fontId="0" fillId="0" borderId="0" xfId="0" applyNumberFormat="1" applyFont="1" applyBorder="1"/>
    <xf numFmtId="3" fontId="0" fillId="7" borderId="0" xfId="0" applyNumberFormat="1" applyFont="1" applyFill="1" applyBorder="1"/>
    <xf numFmtId="2" fontId="0" fillId="7" borderId="0" xfId="0" applyNumberFormat="1" applyFont="1" applyFill="1" applyBorder="1"/>
    <xf numFmtId="0" fontId="0" fillId="7" borderId="7" xfId="0" applyFont="1" applyFill="1" applyBorder="1"/>
    <xf numFmtId="0" fontId="1" fillId="7" borderId="7" xfId="0" applyFont="1" applyFill="1" applyBorder="1"/>
    <xf numFmtId="2" fontId="0" fillId="7" borderId="0" xfId="0" applyNumberFormat="1" applyFont="1" applyFill="1"/>
    <xf numFmtId="0" fontId="0" fillId="0" borderId="0" xfId="0" applyFont="1" applyFill="1"/>
    <xf numFmtId="0" fontId="0" fillId="0" borderId="0" xfId="0" applyFill="1"/>
    <xf numFmtId="3" fontId="0" fillId="0" borderId="0" xfId="0" applyNumberFormat="1" applyFill="1"/>
    <xf numFmtId="3" fontId="10" fillId="3" borderId="5" xfId="0" applyNumberFormat="1" applyFont="1" applyFill="1" applyBorder="1" applyAlignment="1">
      <alignment horizontal="right" indent="1"/>
    </xf>
    <xf numFmtId="164" fontId="5" fillId="0" borderId="0" xfId="1" applyNumberFormat="1" applyFont="1" applyFill="1" applyBorder="1" applyAlignment="1">
      <alignment horizontal="right" indent="1"/>
    </xf>
    <xf numFmtId="0" fontId="6" fillId="0" borderId="0" xfId="0" applyFont="1" applyFill="1"/>
    <xf numFmtId="3" fontId="1" fillId="0" borderId="0" xfId="0" applyNumberFormat="1" applyFont="1" applyFill="1" applyBorder="1" applyAlignment="1">
      <alignment horizontal="right" indent="1"/>
    </xf>
    <xf numFmtId="3" fontId="10" fillId="0" borderId="0" xfId="0" applyNumberFormat="1" applyFont="1" applyFill="1" applyBorder="1" applyAlignment="1">
      <alignment horizontal="right" indent="1"/>
    </xf>
    <xf numFmtId="3" fontId="1" fillId="0" borderId="5" xfId="0" applyNumberFormat="1" applyFont="1" applyFill="1" applyBorder="1" applyAlignment="1">
      <alignment horizontal="right" indent="1"/>
    </xf>
    <xf numFmtId="3" fontId="0" fillId="0" borderId="0" xfId="0" applyNumberFormat="1" applyFont="1" applyFill="1" applyBorder="1" applyAlignment="1">
      <alignment horizontal="right" indent="1"/>
    </xf>
    <xf numFmtId="3" fontId="9" fillId="0" borderId="0" xfId="0" applyNumberFormat="1" applyFont="1" applyFill="1" applyBorder="1" applyAlignment="1">
      <alignment horizontal="right" indent="1"/>
    </xf>
    <xf numFmtId="3" fontId="0" fillId="0" borderId="5" xfId="0" applyNumberFormat="1" applyFont="1" applyFill="1" applyBorder="1" applyAlignment="1">
      <alignment horizontal="right" indent="1"/>
    </xf>
    <xf numFmtId="164" fontId="9" fillId="0" borderId="0" xfId="1" applyNumberFormat="1" applyFont="1" applyFill="1" applyBorder="1" applyAlignment="1">
      <alignment horizontal="right" indent="1"/>
    </xf>
    <xf numFmtId="164" fontId="9" fillId="0" borderId="5" xfId="1" applyNumberFormat="1" applyFont="1" applyFill="1" applyBorder="1" applyAlignment="1">
      <alignment horizontal="right" indent="1"/>
    </xf>
    <xf numFmtId="0" fontId="0" fillId="0" borderId="0" xfId="0" applyFont="1" applyFill="1" applyBorder="1" applyAlignment="1">
      <alignment horizontal="right" indent="1"/>
    </xf>
    <xf numFmtId="0" fontId="9" fillId="0" borderId="0" xfId="0" applyFont="1" applyFill="1" applyBorder="1" applyAlignment="1">
      <alignment horizontal="right" indent="1"/>
    </xf>
    <xf numFmtId="0" fontId="0" fillId="0" borderId="5" xfId="0" applyFont="1" applyFill="1" applyBorder="1" applyAlignment="1">
      <alignment horizontal="right" indent="1"/>
    </xf>
    <xf numFmtId="3" fontId="10" fillId="0" borderId="5" xfId="0" applyNumberFormat="1" applyFont="1" applyFill="1" applyBorder="1" applyAlignment="1">
      <alignment horizontal="right" indent="1"/>
    </xf>
    <xf numFmtId="164" fontId="5" fillId="0" borderId="2" xfId="1" applyNumberFormat="1" applyFont="1" applyFill="1" applyBorder="1" applyAlignment="1">
      <alignment horizontal="right" indent="1"/>
    </xf>
    <xf numFmtId="164" fontId="11" fillId="0" borderId="2" xfId="1" applyNumberFormat="1" applyFont="1" applyFill="1" applyBorder="1" applyAlignment="1">
      <alignment horizontal="right" indent="1"/>
    </xf>
    <xf numFmtId="164" fontId="5" fillId="0" borderId="3" xfId="1" applyNumberFormat="1" applyFont="1" applyFill="1" applyBorder="1" applyAlignment="1">
      <alignment horizontal="right" indent="1"/>
    </xf>
    <xf numFmtId="164" fontId="5" fillId="0" borderId="7" xfId="1" applyNumberFormat="1" applyFont="1" applyFill="1" applyBorder="1" applyAlignment="1">
      <alignment horizontal="right" indent="1"/>
    </xf>
    <xf numFmtId="164" fontId="11" fillId="0" borderId="7" xfId="1" applyNumberFormat="1" applyFont="1" applyFill="1" applyBorder="1" applyAlignment="1">
      <alignment horizontal="right" indent="1"/>
    </xf>
    <xf numFmtId="164" fontId="5" fillId="0" borderId="8" xfId="1" applyNumberFormat="1" applyFont="1" applyFill="1" applyBorder="1" applyAlignment="1">
      <alignment horizontal="right" indent="1"/>
    </xf>
    <xf numFmtId="164" fontId="11" fillId="0" borderId="0" xfId="1" applyNumberFormat="1" applyFont="1" applyFill="1" applyBorder="1" applyAlignment="1">
      <alignment horizontal="right" indent="1"/>
    </xf>
    <xf numFmtId="164" fontId="5" fillId="0" borderId="5" xfId="1" applyNumberFormat="1" applyFont="1" applyFill="1" applyBorder="1" applyAlignment="1">
      <alignment horizontal="right" indent="1"/>
    </xf>
    <xf numFmtId="164" fontId="0" fillId="0" borderId="0" xfId="1" applyNumberFormat="1" applyFont="1" applyFill="1" applyBorder="1"/>
    <xf numFmtId="0" fontId="7" fillId="0" borderId="6" xfId="0" applyFont="1" applyFill="1" applyBorder="1" applyAlignment="1">
      <alignment horizontal="left" indent="2"/>
    </xf>
    <xf numFmtId="0" fontId="7" fillId="0" borderId="4" xfId="0" applyFont="1" applyBorder="1" applyAlignment="1">
      <alignment horizontal="left" indent="2"/>
    </xf>
    <xf numFmtId="0" fontId="7" fillId="0" borderId="4" xfId="0" applyFont="1" applyFill="1" applyBorder="1" applyAlignment="1">
      <alignment horizontal="left" indent="2"/>
    </xf>
    <xf numFmtId="164" fontId="5" fillId="2" borderId="10" xfId="1" applyNumberFormat="1" applyFont="1" applyFill="1" applyBorder="1" applyAlignment="1">
      <alignment horizontal="right" indent="1"/>
    </xf>
    <xf numFmtId="10" fontId="10" fillId="0" borderId="0" xfId="0" applyNumberFormat="1" applyFont="1" applyFill="1" applyBorder="1" applyAlignment="1">
      <alignment horizontal="right" indent="1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0" fontId="10" fillId="0" borderId="5" xfId="0" applyNumberFormat="1" applyFont="1" applyFill="1" applyBorder="1" applyAlignment="1">
      <alignment horizontal="right" indent="1"/>
    </xf>
    <xf numFmtId="9" fontId="0" fillId="0" borderId="0" xfId="2" applyFont="1" applyFill="1" applyBorder="1"/>
    <xf numFmtId="9" fontId="0" fillId="0" borderId="0" xfId="2" applyFont="1" applyBorder="1"/>
    <xf numFmtId="0" fontId="1" fillId="0" borderId="6" xfId="0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left" indent="2"/>
    </xf>
    <xf numFmtId="10" fontId="9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5" borderId="0" xfId="0" applyFont="1" applyFill="1"/>
    <xf numFmtId="0" fontId="0" fillId="7" borderId="9" xfId="0" applyFill="1" applyBorder="1"/>
    <xf numFmtId="0" fontId="1" fillId="0" borderId="0" xfId="0" applyFont="1" applyAlignment="1">
      <alignment horizontal="center"/>
    </xf>
    <xf numFmtId="2" fontId="0" fillId="7" borderId="0" xfId="0" applyNumberFormat="1" applyFill="1"/>
    <xf numFmtId="0" fontId="0" fillId="0" borderId="0" xfId="0" quotePrefix="1" applyFill="1" applyBorder="1"/>
    <xf numFmtId="0" fontId="1" fillId="0" borderId="0" xfId="0" quotePrefix="1" applyFont="1" applyAlignment="1">
      <alignment horizontal="left"/>
    </xf>
    <xf numFmtId="0" fontId="0" fillId="2" borderId="9" xfId="0" applyFill="1" applyBorder="1"/>
    <xf numFmtId="2" fontId="0" fillId="0" borderId="0" xfId="0" applyNumberFormat="1" applyFill="1"/>
    <xf numFmtId="2" fontId="0" fillId="0" borderId="9" xfId="0" applyNumberFormat="1" applyFill="1" applyBorder="1"/>
    <xf numFmtId="2" fontId="0" fillId="0" borderId="0" xfId="0" quotePrefix="1" applyNumberFormat="1" applyFill="1"/>
    <xf numFmtId="0" fontId="0" fillId="0" borderId="2" xfId="0" applyBorder="1"/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/>
    <xf numFmtId="2" fontId="1" fillId="0" borderId="0" xfId="0" applyNumberFormat="1" applyFont="1" applyBorder="1"/>
    <xf numFmtId="0" fontId="1" fillId="6" borderId="0" xfId="0" applyFont="1" applyFill="1"/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600" b="1"/>
              <a:t>Budgetdefizit</a:t>
            </a:r>
            <a:r>
              <a:rPr lang="de-CH" sz="1600" b="1" baseline="0"/>
              <a:t> in Abhängigkeit des Nettoverschuldungsquotienten</a:t>
            </a:r>
            <a:endParaRPr lang="de-CH" sz="1600" b="1"/>
          </a:p>
        </c:rich>
      </c:tx>
      <c:layout>
        <c:manualLayout>
          <c:xMode val="edge"/>
          <c:yMode val="edge"/>
          <c:x val="0.2646877620781356"/>
          <c:y val="2.2222222222222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0583809265683339E-2"/>
          <c:y val="0.1088641975308642"/>
          <c:w val="0.90778819049283543"/>
          <c:h val="0.79076543209876549"/>
        </c:manualLayout>
      </c:layout>
      <c:scatterChart>
        <c:scatterStyle val="lineMarker"/>
        <c:varyColors val="0"/>
        <c:ser>
          <c:idx val="1"/>
          <c:order val="0"/>
          <c:tx>
            <c:strRef>
              <c:f>Grundeinstellungen!$A$15</c:f>
              <c:strCache>
                <c:ptCount val="1"/>
                <c:pt idx="0">
                  <c:v>Gemeinden</c:v>
                </c:pt>
              </c:strCache>
            </c:strRef>
          </c:tx>
          <c:spPr>
            <a:ln w="349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Grundeinstellungen!$O$13:$AC$13</c:f>
              <c:numCache>
                <c:formatCode>0.00</c:formatCode>
                <c:ptCount val="15"/>
                <c:pt idx="0">
                  <c:v>-200</c:v>
                </c:pt>
                <c:pt idx="1">
                  <c:v>-175</c:v>
                </c:pt>
                <c:pt idx="2">
                  <c:v>-150</c:v>
                </c:pt>
                <c:pt idx="3">
                  <c:v>-125</c:v>
                </c:pt>
                <c:pt idx="4">
                  <c:v>-100</c:v>
                </c:pt>
                <c:pt idx="5">
                  <c:v>-75</c:v>
                </c:pt>
                <c:pt idx="6">
                  <c:v>-50</c:v>
                </c:pt>
                <c:pt idx="7">
                  <c:v>-25</c:v>
                </c:pt>
                <c:pt idx="8">
                  <c:v>0</c:v>
                </c:pt>
                <c:pt idx="9">
                  <c:v>25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  <c:pt idx="13">
                  <c:v>125</c:v>
                </c:pt>
                <c:pt idx="14">
                  <c:v>150</c:v>
                </c:pt>
              </c:numCache>
            </c:numRef>
          </c:xVal>
          <c:yVal>
            <c:numRef>
              <c:f>Grundeinstellungen!$O$15:$AC$15</c:f>
              <c:numCache>
                <c:formatCode>0.00</c:formatCode>
                <c:ptCount val="1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7.6666666666666661</c:v>
                </c:pt>
                <c:pt idx="10">
                  <c:v>5.333333333333333</c:v>
                </c:pt>
                <c:pt idx="11">
                  <c:v>3</c:v>
                </c:pt>
                <c:pt idx="12">
                  <c:v>0.66666666666666607</c:v>
                </c:pt>
                <c:pt idx="13">
                  <c:v>-1.6666666666666679</c:v>
                </c:pt>
                <c:pt idx="14">
                  <c:v>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E2-47C3-BCF8-2D81365235B0}"/>
            </c:ext>
          </c:extLst>
        </c:ser>
        <c:ser>
          <c:idx val="0"/>
          <c:order val="1"/>
          <c:tx>
            <c:strRef>
              <c:f>Grundeinstellungen!$A$6</c:f>
              <c:strCache>
                <c:ptCount val="1"/>
                <c:pt idx="0">
                  <c:v>Kanton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Grundeinstellungen!$O$4:$AC$4</c:f>
              <c:numCache>
                <c:formatCode>0.00</c:formatCode>
                <c:ptCount val="15"/>
                <c:pt idx="0">
                  <c:v>-200</c:v>
                </c:pt>
                <c:pt idx="1">
                  <c:v>-175</c:v>
                </c:pt>
                <c:pt idx="2">
                  <c:v>-150</c:v>
                </c:pt>
                <c:pt idx="3">
                  <c:v>-125</c:v>
                </c:pt>
                <c:pt idx="4">
                  <c:v>-100</c:v>
                </c:pt>
                <c:pt idx="5">
                  <c:v>-75</c:v>
                </c:pt>
                <c:pt idx="6">
                  <c:v>-50</c:v>
                </c:pt>
                <c:pt idx="7">
                  <c:v>-25</c:v>
                </c:pt>
                <c:pt idx="8">
                  <c:v>0</c:v>
                </c:pt>
                <c:pt idx="9">
                  <c:v>25</c:v>
                </c:pt>
                <c:pt idx="10">
                  <c:v>50</c:v>
                </c:pt>
                <c:pt idx="11">
                  <c:v>75</c:v>
                </c:pt>
                <c:pt idx="12">
                  <c:v>100</c:v>
                </c:pt>
                <c:pt idx="13">
                  <c:v>125</c:v>
                </c:pt>
                <c:pt idx="14">
                  <c:v>150</c:v>
                </c:pt>
              </c:numCache>
            </c:numRef>
          </c:xVal>
          <c:yVal>
            <c:numRef>
              <c:f>Grundeinstellungen!$O$6:$AC$6</c:f>
              <c:numCache>
                <c:formatCode>0.00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1.8333333333333333</c:v>
                </c:pt>
                <c:pt idx="10">
                  <c:v>0.66666666666666652</c:v>
                </c:pt>
                <c:pt idx="11">
                  <c:v>-0.5</c:v>
                </c:pt>
                <c:pt idx="12">
                  <c:v>-1.666666666666667</c:v>
                </c:pt>
                <c:pt idx="13">
                  <c:v>-2.8333333333333339</c:v>
                </c:pt>
                <c:pt idx="14">
                  <c:v>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E2-47C3-BCF8-2D81365235B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648826712"/>
        <c:axId val="648829336"/>
      </c:scatterChart>
      <c:valAx>
        <c:axId val="648826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Nettoverschuldungsquotient [%]</a:t>
                </a:r>
              </a:p>
            </c:rich>
          </c:tx>
          <c:layout>
            <c:manualLayout>
              <c:xMode val="edge"/>
              <c:yMode val="edge"/>
              <c:x val="0.39822144554631389"/>
              <c:y val="0.936666666666666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8829336"/>
        <c:crosses val="autoZero"/>
        <c:crossBetween val="midCat"/>
        <c:majorUnit val="25"/>
      </c:valAx>
      <c:valAx>
        <c:axId val="648829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Maximales</a:t>
                </a:r>
                <a:r>
                  <a:rPr lang="en-US" sz="1200" b="1" baseline="0"/>
                  <a:t> Budgetdefizit bzw minimaler Budgetüberschuss [%]</a:t>
                </a:r>
                <a:endParaRPr lang="en-US" sz="1200" b="1"/>
              </a:p>
            </c:rich>
          </c:tx>
          <c:layout>
            <c:manualLayout>
              <c:xMode val="edge"/>
              <c:yMode val="edge"/>
              <c:x val="1.2983812269569956E-2"/>
              <c:y val="0.13375911344415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8826712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594411496552405"/>
          <c:y val="2.7372413578097474E-2"/>
          <c:w val="6.3310526020026042E-2"/>
          <c:h val="7.07029135912111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Entwicklung</a:t>
            </a:r>
            <a:r>
              <a:rPr lang="en-US" b="1" baseline="0"/>
              <a:t> Nettoschulden (+) / Nettovermögen (-)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Kanton!$A$16</c:f>
              <c:strCache>
                <c:ptCount val="1"/>
                <c:pt idx="0">
                  <c:v>Nettoschuld (+) / Nettovermögen (-) gemäss Planung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Kanton!$F$4:$K$4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Kanton!$F$16:$K$16</c:f>
              <c:numCache>
                <c:formatCode>#,##0</c:formatCode>
                <c:ptCount val="6"/>
                <c:pt idx="0">
                  <c:v>-10374393.73</c:v>
                </c:pt>
                <c:pt idx="1">
                  <c:v>29982000</c:v>
                </c:pt>
                <c:pt idx="2">
                  <c:v>52161000</c:v>
                </c:pt>
                <c:pt idx="3">
                  <c:v>65889000</c:v>
                </c:pt>
                <c:pt idx="4">
                  <c:v>85922000</c:v>
                </c:pt>
                <c:pt idx="5">
                  <c:v>108847000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C3-4298-970C-911258F3DD3F}"/>
            </c:ext>
          </c:extLst>
        </c:ser>
        <c:ser>
          <c:idx val="1"/>
          <c:order val="1"/>
          <c:tx>
            <c:strRef>
              <c:f>Kanton!$C$43</c:f>
              <c:strCache>
                <c:ptCount val="1"/>
                <c:pt idx="0">
                  <c:v>Nettoschuld mit Schuldenbegrenzung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Kanton!$F$4:$K$4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Kanton!$F$43:$K$43</c:f>
              <c:numCache>
                <c:formatCode>General</c:formatCode>
                <c:ptCount val="6"/>
                <c:pt idx="2" formatCode="#,##0">
                  <c:v>52161000</c:v>
                </c:pt>
                <c:pt idx="3" formatCode="#,##0">
                  <c:v>65258051.75564561</c:v>
                </c:pt>
                <c:pt idx="4" formatCode="#,##0">
                  <c:v>85020494.396725103</c:v>
                </c:pt>
                <c:pt idx="5" formatCode="#,##0">
                  <c:v>104794025.6790628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C3-4298-970C-911258F3DD3F}"/>
            </c:ext>
          </c:extLst>
        </c:ser>
        <c:ser>
          <c:idx val="2"/>
          <c:order val="2"/>
          <c:tx>
            <c:strRef>
              <c:f>Kanton!$C$48</c:f>
              <c:strCache>
                <c:ptCount val="1"/>
                <c:pt idx="0">
                  <c:v>Maximal zulässige Verschuldung (150 % des Fiskalertrags)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Kanton!$F$4:$K$4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Kanton!$F$48:$K$48</c:f>
              <c:numCache>
                <c:formatCode>#,##0</c:formatCode>
                <c:ptCount val="6"/>
                <c:pt idx="0">
                  <c:v>155375581.27499998</c:v>
                </c:pt>
                <c:pt idx="1">
                  <c:v>161612250</c:v>
                </c:pt>
                <c:pt idx="2">
                  <c:v>178413000</c:v>
                </c:pt>
                <c:pt idx="3">
                  <c:v>186306000</c:v>
                </c:pt>
                <c:pt idx="4">
                  <c:v>193366500</c:v>
                </c:pt>
                <c:pt idx="5">
                  <c:v>200646000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C3-4298-970C-911258F3D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775200"/>
        <c:axId val="434776840"/>
      </c:scatterChart>
      <c:valAx>
        <c:axId val="434775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4776840"/>
        <c:crosses val="autoZero"/>
        <c:crossBetween val="midCat"/>
      </c:valAx>
      <c:valAx>
        <c:axId val="43477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4775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Entwicklung</a:t>
            </a:r>
            <a:r>
              <a:rPr lang="en-US" b="1" baseline="0"/>
              <a:t> Nettoschulden (+) / Nettovermögen (-)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Sarnen!$A$16</c:f>
              <c:strCache>
                <c:ptCount val="1"/>
                <c:pt idx="0">
                  <c:v>Nettoschuld (+) / Nettovermögen (-) gemäss Planung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Sarnen!$F$4:$K$4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Sarnen!$F$16:$K$16</c:f>
              <c:numCache>
                <c:formatCode>#,##0</c:formatCode>
                <c:ptCount val="6"/>
                <c:pt idx="0">
                  <c:v>-17664095.649999999</c:v>
                </c:pt>
                <c:pt idx="1">
                  <c:v>-10409895.649999999</c:v>
                </c:pt>
                <c:pt idx="2">
                  <c:v>-1068995.6499999985</c:v>
                </c:pt>
                <c:pt idx="3">
                  <c:v>8401544.3500000015</c:v>
                </c:pt>
                <c:pt idx="4">
                  <c:v>15667714.350000001</c:v>
                </c:pt>
                <c:pt idx="5">
                  <c:v>19244704.350000001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82-4538-9765-C4AD6A8DB46F}"/>
            </c:ext>
          </c:extLst>
        </c:ser>
        <c:ser>
          <c:idx val="1"/>
          <c:order val="1"/>
          <c:tx>
            <c:strRef>
              <c:f>Sarnen!$C$40</c:f>
              <c:strCache>
                <c:ptCount val="1"/>
                <c:pt idx="0">
                  <c:v>Nettoschuld mit Schuldenbegrenzung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Sarnen!$F$4:$K$4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Sarnen!$F$40:$K$40</c:f>
              <c:numCache>
                <c:formatCode>General</c:formatCode>
                <c:ptCount val="6"/>
                <c:pt idx="2" formatCode="#,##0">
                  <c:v>-1068995.6499999985</c:v>
                </c:pt>
                <c:pt idx="3" formatCode="#,##0">
                  <c:v>10020767.350000001</c:v>
                </c:pt>
                <c:pt idx="4" formatCode="#,##0">
                  <c:v>18055705.318452895</c:v>
                </c:pt>
                <c:pt idx="5" formatCode="#,##0">
                  <c:v>23176106.514514025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82-4538-9765-C4AD6A8DB46F}"/>
            </c:ext>
          </c:extLst>
        </c:ser>
        <c:ser>
          <c:idx val="2"/>
          <c:order val="2"/>
          <c:tx>
            <c:strRef>
              <c:f>Sarnen!$C$45</c:f>
              <c:strCache>
                <c:ptCount val="1"/>
                <c:pt idx="0">
                  <c:v>Maximal zulässige Verschuldung (150 % des Fiskalertrags)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Sarnen!$F$4:$K$4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Sarnen!$F$45:$K$45</c:f>
              <c:numCache>
                <c:formatCode>#,##0</c:formatCode>
                <c:ptCount val="6"/>
                <c:pt idx="0">
                  <c:v>69118375.650000006</c:v>
                </c:pt>
                <c:pt idx="1">
                  <c:v>64030500</c:v>
                </c:pt>
                <c:pt idx="2">
                  <c:v>62989500</c:v>
                </c:pt>
                <c:pt idx="3">
                  <c:v>67171095</c:v>
                </c:pt>
                <c:pt idx="4">
                  <c:v>68437740</c:v>
                </c:pt>
                <c:pt idx="5">
                  <c:v>69273420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082-4538-9765-C4AD6A8DB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775200"/>
        <c:axId val="434776840"/>
      </c:scatterChart>
      <c:valAx>
        <c:axId val="434775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4776840"/>
        <c:crosses val="autoZero"/>
        <c:crossBetween val="midCat"/>
      </c:valAx>
      <c:valAx>
        <c:axId val="43477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4775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Entwicklung</a:t>
            </a:r>
            <a:r>
              <a:rPr lang="en-US" b="1" baseline="0"/>
              <a:t> Nettoschulden (+) / Nettovermögen (-)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Kerns!$A$16</c:f>
              <c:strCache>
                <c:ptCount val="1"/>
                <c:pt idx="0">
                  <c:v>Nettoschuld (+) / Nettovermögen (-) gemäss Planung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Kerns!$F$4:$K$4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Kerns!$F$16:$K$16</c:f>
              <c:numCache>
                <c:formatCode>#,##0</c:formatCode>
                <c:ptCount val="6"/>
                <c:pt idx="0">
                  <c:v>-7112829.4100000001</c:v>
                </c:pt>
                <c:pt idx="1">
                  <c:v>-3933229.41</c:v>
                </c:pt>
                <c:pt idx="2">
                  <c:v>-2789929.41</c:v>
                </c:pt>
                <c:pt idx="3">
                  <c:v>-404929.41000000015</c:v>
                </c:pt>
                <c:pt idx="4">
                  <c:v>-1985929.4100000001</c:v>
                </c:pt>
                <c:pt idx="5">
                  <c:v>-3669929.41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E8-45C0-A136-640A7B78CF53}"/>
            </c:ext>
          </c:extLst>
        </c:ser>
        <c:ser>
          <c:idx val="1"/>
          <c:order val="1"/>
          <c:tx>
            <c:strRef>
              <c:f>Kerns!$C$40</c:f>
              <c:strCache>
                <c:ptCount val="1"/>
                <c:pt idx="0">
                  <c:v>Nettoschuld mit Schuldenbegrenzung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Kerns!$F$4:$K$4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Kerns!$F$40:$K$40</c:f>
              <c:numCache>
                <c:formatCode>General</c:formatCode>
                <c:ptCount val="6"/>
                <c:pt idx="2" formatCode="#,##0">
                  <c:v>-2789929.41</c:v>
                </c:pt>
                <c:pt idx="3" formatCode="#,##0">
                  <c:v>1219070.5899999999</c:v>
                </c:pt>
                <c:pt idx="4" formatCode="#,##0">
                  <c:v>5046902.6563786091</c:v>
                </c:pt>
                <c:pt idx="5" formatCode="#,##0">
                  <c:v>4703286.5744557101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E8-45C0-A136-640A7B78CF53}"/>
            </c:ext>
          </c:extLst>
        </c:ser>
        <c:ser>
          <c:idx val="2"/>
          <c:order val="2"/>
          <c:tx>
            <c:strRef>
              <c:f>Kerns!$C$45</c:f>
              <c:strCache>
                <c:ptCount val="1"/>
                <c:pt idx="0">
                  <c:v>Maximal zulässige Verschuldung (150 % des Fiskalertrags)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Kerns!$F$4:$K$4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Kerns!$F$45:$K$45</c:f>
              <c:numCache>
                <c:formatCode>#,##0</c:formatCode>
                <c:ptCount val="6"/>
                <c:pt idx="0">
                  <c:v>22784196.149999999</c:v>
                </c:pt>
                <c:pt idx="1">
                  <c:v>22570500</c:v>
                </c:pt>
                <c:pt idx="2">
                  <c:v>22780500</c:v>
                </c:pt>
                <c:pt idx="3">
                  <c:v>22860000</c:v>
                </c:pt>
                <c:pt idx="4">
                  <c:v>22837500</c:v>
                </c:pt>
                <c:pt idx="5">
                  <c:v>22792500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FE8-45C0-A136-640A7B78C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775200"/>
        <c:axId val="434776840"/>
      </c:scatterChart>
      <c:valAx>
        <c:axId val="434775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4776840"/>
        <c:crosses val="autoZero"/>
        <c:crossBetween val="midCat"/>
      </c:valAx>
      <c:valAx>
        <c:axId val="43477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4775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Entwicklung</a:t>
            </a:r>
            <a:r>
              <a:rPr lang="en-US" b="1" baseline="0"/>
              <a:t> Nettoschulden (+) / Nettovermögen (-)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Sachseln!$A$17</c:f>
              <c:strCache>
                <c:ptCount val="1"/>
                <c:pt idx="0">
                  <c:v>Nettoschuld (+) / Nettovermögen (-) gemäss Planung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Sachseln!$F$4:$K$4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Sachseln!$F$17:$K$17</c:f>
              <c:numCache>
                <c:formatCode>#,##0</c:formatCode>
                <c:ptCount val="6"/>
                <c:pt idx="0">
                  <c:v>1304622.95</c:v>
                </c:pt>
                <c:pt idx="1">
                  <c:v>8459278.9499999993</c:v>
                </c:pt>
                <c:pt idx="2">
                  <c:v>14704555.949999999</c:v>
                </c:pt>
                <c:pt idx="3">
                  <c:v>20420928.785888501</c:v>
                </c:pt>
                <c:pt idx="4">
                  <c:v>21117755.37763172</c:v>
                </c:pt>
                <c:pt idx="5">
                  <c:v>21155092.912764475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04-42D7-BC90-97CEC064E94E}"/>
            </c:ext>
          </c:extLst>
        </c:ser>
        <c:ser>
          <c:idx val="1"/>
          <c:order val="1"/>
          <c:tx>
            <c:strRef>
              <c:f>Sachseln!$C$41</c:f>
              <c:strCache>
                <c:ptCount val="1"/>
                <c:pt idx="0">
                  <c:v>Nettoschuld mit Schuldenbegrenzung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Sachseln!$F$4:$K$4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Sachseln!$F$41:$K$41</c:f>
              <c:numCache>
                <c:formatCode>General</c:formatCode>
                <c:ptCount val="6"/>
                <c:pt idx="2" formatCode="#,##0">
                  <c:v>14704555.949999999</c:v>
                </c:pt>
                <c:pt idx="3" formatCode="#,##0">
                  <c:v>19915781.167310588</c:v>
                </c:pt>
                <c:pt idx="4" formatCode="#,##0">
                  <c:v>19899450.175218023</c:v>
                </c:pt>
                <c:pt idx="5" formatCode="#,##0">
                  <c:v>19071280.792851124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04-42D7-BC90-97CEC064E94E}"/>
            </c:ext>
          </c:extLst>
        </c:ser>
        <c:ser>
          <c:idx val="2"/>
          <c:order val="2"/>
          <c:tx>
            <c:strRef>
              <c:f>Sachseln!$C$46</c:f>
              <c:strCache>
                <c:ptCount val="1"/>
                <c:pt idx="0">
                  <c:v>Maximal zulässige Verschuldung (150 % des Fiskalertrags)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Sachseln!$F$4:$K$4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Sachseln!$F$46:$K$46</c:f>
              <c:numCache>
                <c:formatCode>#,##0</c:formatCode>
                <c:ptCount val="6"/>
                <c:pt idx="0">
                  <c:v>26137219.5</c:v>
                </c:pt>
                <c:pt idx="1">
                  <c:v>24750000</c:v>
                </c:pt>
                <c:pt idx="2">
                  <c:v>25350000</c:v>
                </c:pt>
                <c:pt idx="3">
                  <c:v>25699542</c:v>
                </c:pt>
                <c:pt idx="4">
                  <c:v>25811960.328000002</c:v>
                </c:pt>
                <c:pt idx="5">
                  <c:v>25924800.650591999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104-42D7-BC90-97CEC064E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775200"/>
        <c:axId val="434776840"/>
      </c:scatterChart>
      <c:valAx>
        <c:axId val="434775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4776840"/>
        <c:crosses val="autoZero"/>
        <c:crossBetween val="midCat"/>
      </c:valAx>
      <c:valAx>
        <c:axId val="43477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4775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Entwicklung</a:t>
            </a:r>
            <a:r>
              <a:rPr lang="en-US" b="1" baseline="0"/>
              <a:t> Nettoschulden (+) / Nettovermögen (-)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Alpnach!$A$16</c:f>
              <c:strCache>
                <c:ptCount val="1"/>
                <c:pt idx="0">
                  <c:v>Nettoschuld (+) / Nettovermögen (-) gemäss Planung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Alpnach!$F$4:$K$4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Alpnach!$F$16:$K$16</c:f>
              <c:numCache>
                <c:formatCode>#,##0</c:formatCode>
                <c:ptCount val="6"/>
                <c:pt idx="0">
                  <c:v>10518594.51</c:v>
                </c:pt>
                <c:pt idx="1">
                  <c:v>12875794.51</c:v>
                </c:pt>
                <c:pt idx="2">
                  <c:v>16060794.51</c:v>
                </c:pt>
                <c:pt idx="3">
                  <c:v>19554794.509999998</c:v>
                </c:pt>
                <c:pt idx="4">
                  <c:v>21907794.509999998</c:v>
                </c:pt>
                <c:pt idx="5">
                  <c:v>24028794.509999998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1A-4BF4-BB20-06A566077990}"/>
            </c:ext>
          </c:extLst>
        </c:ser>
        <c:ser>
          <c:idx val="1"/>
          <c:order val="1"/>
          <c:tx>
            <c:strRef>
              <c:f>Alpnach!$C$41</c:f>
              <c:strCache>
                <c:ptCount val="1"/>
                <c:pt idx="0">
                  <c:v>Nettoschuld mit Schuldenbegrenzung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Alpnach!$F$4:$K$4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Alpnach!$F$41:$K$41</c:f>
              <c:numCache>
                <c:formatCode>General</c:formatCode>
                <c:ptCount val="6"/>
                <c:pt idx="2" formatCode="#,##0">
                  <c:v>16060794.51</c:v>
                </c:pt>
                <c:pt idx="3" formatCode="#,##0">
                  <c:v>19167720.187771387</c:v>
                </c:pt>
                <c:pt idx="4" formatCode="#,##0">
                  <c:v>21267896.050499164</c:v>
                </c:pt>
                <c:pt idx="5" formatCode="#,##0">
                  <c:v>22762464.168186974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1A-4BF4-BB20-06A566077990}"/>
            </c:ext>
          </c:extLst>
        </c:ser>
        <c:ser>
          <c:idx val="2"/>
          <c:order val="2"/>
          <c:tx>
            <c:strRef>
              <c:f>Alpnach!$C$46</c:f>
              <c:strCache>
                <c:ptCount val="1"/>
                <c:pt idx="0">
                  <c:v>Maximal zulässige Verschuldung (150 % des Fiskalertrags)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Alpnach!$F$4:$K$4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Alpnach!$F$46:$K$46</c:f>
              <c:numCache>
                <c:formatCode>#,##0</c:formatCode>
                <c:ptCount val="6"/>
                <c:pt idx="0">
                  <c:v>27122632.125</c:v>
                </c:pt>
                <c:pt idx="1">
                  <c:v>27009000</c:v>
                </c:pt>
                <c:pt idx="2">
                  <c:v>28755750</c:v>
                </c:pt>
                <c:pt idx="3">
                  <c:v>28816500</c:v>
                </c:pt>
                <c:pt idx="4">
                  <c:v>29266500</c:v>
                </c:pt>
                <c:pt idx="5">
                  <c:v>29722500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71A-4BF4-BB20-06A566077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775200"/>
        <c:axId val="434776840"/>
      </c:scatterChart>
      <c:valAx>
        <c:axId val="434775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4776840"/>
        <c:crosses val="autoZero"/>
        <c:crossBetween val="midCat"/>
      </c:valAx>
      <c:valAx>
        <c:axId val="43477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4775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Entwicklung</a:t>
            </a:r>
            <a:r>
              <a:rPr lang="en-US" b="1" baseline="0"/>
              <a:t> Nettoschulden (+) / Nettovermögen (-)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Giswil!$A$16</c:f>
              <c:strCache>
                <c:ptCount val="1"/>
                <c:pt idx="0">
                  <c:v>Nettoschuld (+) / Nettovermögen (-) gemäss Planung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Giswil!$F$4:$K$4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Giswil!$F$16:$K$16</c:f>
              <c:numCache>
                <c:formatCode>#,##0</c:formatCode>
                <c:ptCount val="6"/>
                <c:pt idx="0">
                  <c:v>8060165.5</c:v>
                </c:pt>
                <c:pt idx="1">
                  <c:v>7535365.5</c:v>
                </c:pt>
                <c:pt idx="2">
                  <c:v>7904065.5</c:v>
                </c:pt>
                <c:pt idx="3">
                  <c:v>7414565.5</c:v>
                </c:pt>
                <c:pt idx="4">
                  <c:v>7033865.5</c:v>
                </c:pt>
                <c:pt idx="5">
                  <c:v>6036365.5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23-4364-A51C-41003BE6D137}"/>
            </c:ext>
          </c:extLst>
        </c:ser>
        <c:ser>
          <c:idx val="1"/>
          <c:order val="1"/>
          <c:tx>
            <c:strRef>
              <c:f>Giswil!$C$40</c:f>
              <c:strCache>
                <c:ptCount val="1"/>
                <c:pt idx="0">
                  <c:v>Nettoschuld mit Schuldenbegrenzung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Giswil!$F$4:$K$4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Giswil!$F$40:$K$40</c:f>
              <c:numCache>
                <c:formatCode>General</c:formatCode>
                <c:ptCount val="6"/>
                <c:pt idx="2" formatCode="#,##0">
                  <c:v>7904065.5</c:v>
                </c:pt>
                <c:pt idx="3" formatCode="#,##0">
                  <c:v>7847310.1377465585</c:v>
                </c:pt>
                <c:pt idx="4" formatCode="#,##0">
                  <c:v>8024759.2179995514</c:v>
                </c:pt>
                <c:pt idx="5" formatCode="#,##0">
                  <c:v>7621729.4081721334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23-4364-A51C-41003BE6D137}"/>
            </c:ext>
          </c:extLst>
        </c:ser>
        <c:ser>
          <c:idx val="2"/>
          <c:order val="2"/>
          <c:tx>
            <c:strRef>
              <c:f>Giswil!$C$45</c:f>
              <c:strCache>
                <c:ptCount val="1"/>
                <c:pt idx="0">
                  <c:v>Maximal zulässige Verschuldung (150 % des Fiskalertrags)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Giswil!$F$4:$K$4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Giswil!$F$45:$K$45</c:f>
              <c:numCache>
                <c:formatCode>#,##0</c:formatCode>
                <c:ptCount val="6"/>
                <c:pt idx="0">
                  <c:v>13582770</c:v>
                </c:pt>
                <c:pt idx="1">
                  <c:v>13774500</c:v>
                </c:pt>
                <c:pt idx="2">
                  <c:v>13731000</c:v>
                </c:pt>
                <c:pt idx="3">
                  <c:v>13920900</c:v>
                </c:pt>
                <c:pt idx="4">
                  <c:v>14113350</c:v>
                </c:pt>
                <c:pt idx="5">
                  <c:v>14308800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123-4364-A51C-41003BE6D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775200"/>
        <c:axId val="434776840"/>
      </c:scatterChart>
      <c:valAx>
        <c:axId val="434775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4776840"/>
        <c:crosses val="autoZero"/>
        <c:crossBetween val="midCat"/>
      </c:valAx>
      <c:valAx>
        <c:axId val="43477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4775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Entwicklung</a:t>
            </a:r>
            <a:r>
              <a:rPr lang="en-US" b="1" baseline="0"/>
              <a:t> Nettoschulden (+) / Nettovermögen (-)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Lungern!$A$16</c:f>
              <c:strCache>
                <c:ptCount val="1"/>
                <c:pt idx="0">
                  <c:v>Nettoschuld (+) / Nettovermögen (-) gemäss Planung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Lungern!$F$4:$K$4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Lungern!$F$16:$K$16</c:f>
              <c:numCache>
                <c:formatCode>#,##0</c:formatCode>
                <c:ptCount val="6"/>
                <c:pt idx="0">
                  <c:v>-1429075.38</c:v>
                </c:pt>
                <c:pt idx="1">
                  <c:v>-1954185.38</c:v>
                </c:pt>
                <c:pt idx="2">
                  <c:v>-1762485.38</c:v>
                </c:pt>
                <c:pt idx="3">
                  <c:v>162744.62000000011</c:v>
                </c:pt>
                <c:pt idx="4">
                  <c:v>4488544.62</c:v>
                </c:pt>
                <c:pt idx="5">
                  <c:v>9026564.620000001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30-41C9-A0E4-94CD5902ADD2}"/>
            </c:ext>
          </c:extLst>
        </c:ser>
        <c:ser>
          <c:idx val="1"/>
          <c:order val="1"/>
          <c:tx>
            <c:strRef>
              <c:f>Lungern!$C$40</c:f>
              <c:strCache>
                <c:ptCount val="1"/>
                <c:pt idx="0">
                  <c:v>Nettoschuld mit Schuldenbegrenzung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Lungern!$F$4:$K$4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Lungern!$F$40:$K$40</c:f>
              <c:numCache>
                <c:formatCode>General</c:formatCode>
                <c:ptCount val="6"/>
                <c:pt idx="2" formatCode="#,##0">
                  <c:v>-1762485.38</c:v>
                </c:pt>
                <c:pt idx="3" formatCode="#,##0">
                  <c:v>1254167.6200000001</c:v>
                </c:pt>
                <c:pt idx="4" formatCode="#,##0">
                  <c:v>6283960.9420454847</c:v>
                </c:pt>
                <c:pt idx="5" formatCode="#,##0">
                  <c:v>10762376.746365206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30-41C9-A0E4-94CD5902ADD2}"/>
            </c:ext>
          </c:extLst>
        </c:ser>
        <c:ser>
          <c:idx val="2"/>
          <c:order val="2"/>
          <c:tx>
            <c:strRef>
              <c:f>Lungern!$C$45</c:f>
              <c:strCache>
                <c:ptCount val="1"/>
                <c:pt idx="0">
                  <c:v>Maximal zulässige Verschuldung (150 % des Fiskalertrags)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Lungern!$F$4:$K$4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Lungern!$F$45:$K$45</c:f>
              <c:numCache>
                <c:formatCode>#,##0</c:formatCode>
                <c:ptCount val="6"/>
                <c:pt idx="0">
                  <c:v>11193189.375</c:v>
                </c:pt>
                <c:pt idx="1">
                  <c:v>11411250</c:v>
                </c:pt>
                <c:pt idx="2">
                  <c:v>10303500</c:v>
                </c:pt>
                <c:pt idx="3">
                  <c:v>11871795</c:v>
                </c:pt>
                <c:pt idx="4">
                  <c:v>12109020</c:v>
                </c:pt>
                <c:pt idx="5">
                  <c:v>12350955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E30-41C9-A0E4-94CD5902A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775200"/>
        <c:axId val="434776840"/>
      </c:scatterChart>
      <c:valAx>
        <c:axId val="434775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4776840"/>
        <c:crosses val="autoZero"/>
        <c:crossBetween val="midCat"/>
      </c:valAx>
      <c:valAx>
        <c:axId val="43477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4775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Entwicklung</a:t>
            </a:r>
            <a:r>
              <a:rPr lang="en-US" b="1" baseline="0"/>
              <a:t> Nettoschulden (+) / Nettovermögen (-)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Engelberg!$A$16</c:f>
              <c:strCache>
                <c:ptCount val="1"/>
                <c:pt idx="0">
                  <c:v>Nettoschuld (+) / Nettovermögen (-) gemäss Planung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Engelberg!$F$4:$K$4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Engelberg!$F$16:$K$16</c:f>
              <c:numCache>
                <c:formatCode>#,##0</c:formatCode>
                <c:ptCount val="6"/>
                <c:pt idx="0">
                  <c:v>-6394008.0999999996</c:v>
                </c:pt>
                <c:pt idx="1">
                  <c:v>-3385208.0999999996</c:v>
                </c:pt>
                <c:pt idx="2">
                  <c:v>1374591.9000000004</c:v>
                </c:pt>
                <c:pt idx="3">
                  <c:v>7438291.9000000004</c:v>
                </c:pt>
                <c:pt idx="4">
                  <c:v>18491691.899999999</c:v>
                </c:pt>
                <c:pt idx="5">
                  <c:v>28003591.899999999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32-4A86-9DB3-77F2218F1B5C}"/>
            </c:ext>
          </c:extLst>
        </c:ser>
        <c:ser>
          <c:idx val="1"/>
          <c:order val="1"/>
          <c:tx>
            <c:strRef>
              <c:f>Engelberg!$C$40</c:f>
              <c:strCache>
                <c:ptCount val="1"/>
                <c:pt idx="0">
                  <c:v>Nettoschuld mit Schuldenbegrenzung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Engelberg!$F$4:$K$4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Engelberg!$F$40:$K$40</c:f>
              <c:numCache>
                <c:formatCode>General</c:formatCode>
                <c:ptCount val="6"/>
                <c:pt idx="2" formatCode="#,##0">
                  <c:v>1374591.9000000004</c:v>
                </c:pt>
                <c:pt idx="3" formatCode="#,##0">
                  <c:v>11405514.771514896</c:v>
                </c:pt>
                <c:pt idx="4" formatCode="#,##0">
                  <c:v>24967917.72954816</c:v>
                </c:pt>
                <c:pt idx="5" formatCode="#,##0">
                  <c:v>34537352.969527379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32-4A86-9DB3-77F2218F1B5C}"/>
            </c:ext>
          </c:extLst>
        </c:ser>
        <c:ser>
          <c:idx val="2"/>
          <c:order val="2"/>
          <c:tx>
            <c:strRef>
              <c:f>Engelberg!$C$45</c:f>
              <c:strCache>
                <c:ptCount val="1"/>
                <c:pt idx="0">
                  <c:v>Maximal zulässige Verschuldung (150 % des Fiskalertrags)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Engelberg!$F$4:$K$4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xVal>
          <c:yVal>
            <c:numRef>
              <c:f>Engelberg!$F$45:$K$45</c:f>
              <c:numCache>
                <c:formatCode>#,##0</c:formatCode>
                <c:ptCount val="6"/>
                <c:pt idx="0">
                  <c:v>32257746.734999999</c:v>
                </c:pt>
                <c:pt idx="1">
                  <c:v>34708500</c:v>
                </c:pt>
                <c:pt idx="2">
                  <c:v>33580500</c:v>
                </c:pt>
                <c:pt idx="3">
                  <c:v>36088500</c:v>
                </c:pt>
                <c:pt idx="4">
                  <c:v>36810000</c:v>
                </c:pt>
                <c:pt idx="5">
                  <c:v>37546500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232-4A86-9DB3-77F2218F1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775200"/>
        <c:axId val="434776840"/>
      </c:scatterChart>
      <c:valAx>
        <c:axId val="434775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4776840"/>
        <c:crosses val="autoZero"/>
        <c:crossBetween val="midCat"/>
      </c:valAx>
      <c:valAx>
        <c:axId val="43477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4775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11205</xdr:colOff>
      <xdr:row>1</xdr:row>
      <xdr:rowOff>100852</xdr:rowOff>
    </xdr:from>
    <xdr:to>
      <xdr:col>25</xdr:col>
      <xdr:colOff>302559</xdr:colOff>
      <xdr:row>32</xdr:row>
      <xdr:rowOff>168086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324970</xdr:colOff>
      <xdr:row>26</xdr:row>
      <xdr:rowOff>179294</xdr:rowOff>
    </xdr:from>
    <xdr:to>
      <xdr:col>21</xdr:col>
      <xdr:colOff>448235</xdr:colOff>
      <xdr:row>29</xdr:row>
      <xdr:rowOff>78441</xdr:rowOff>
    </xdr:to>
    <xdr:sp macro="" textlink="">
      <xdr:nvSpPr>
        <xdr:cNvPr id="4" name="Textfeld 1"/>
        <xdr:cNvSpPr txBox="1"/>
      </xdr:nvSpPr>
      <xdr:spPr>
        <a:xfrm>
          <a:off x="10152529" y="5221941"/>
          <a:ext cx="2588559" cy="470647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400">
              <a:latin typeface="Arial" panose="020B0604020202020204" pitchFamily="34" charset="0"/>
              <a:cs typeface="Arial" panose="020B0604020202020204" pitchFamily="34" charset="0"/>
            </a:rPr>
            <a:t>Nettoverschuldung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31</xdr:row>
      <xdr:rowOff>0</xdr:rowOff>
    </xdr:from>
    <xdr:to>
      <xdr:col>18</xdr:col>
      <xdr:colOff>166688</xdr:colOff>
      <xdr:row>57</xdr:row>
      <xdr:rowOff>11907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0.21401</cdr:x>
      <cdr:y>0.81331</cdr:y>
    </cdr:from>
    <cdr:to>
      <cdr:x>0.39184</cdr:x>
      <cdr:y>0.89094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15236" y="4930589"/>
          <a:ext cx="2588559" cy="47064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60000"/>
            <a:lumOff val="40000"/>
          </a:schemeClr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de-CH" sz="1400">
              <a:latin typeface="Arial" panose="020B0604020202020204" pitchFamily="34" charset="0"/>
              <a:cs typeface="Arial" panose="020B0604020202020204" pitchFamily="34" charset="0"/>
            </a:rPr>
            <a:t>Nettovermögen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11905</xdr:colOff>
      <xdr:row>33</xdr:row>
      <xdr:rowOff>154780</xdr:rowOff>
    </xdr:from>
    <xdr:to>
      <xdr:col>18</xdr:col>
      <xdr:colOff>178593</xdr:colOff>
      <xdr:row>59</xdr:row>
      <xdr:rowOff>166687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11905</xdr:colOff>
      <xdr:row>30</xdr:row>
      <xdr:rowOff>154780</xdr:rowOff>
    </xdr:from>
    <xdr:to>
      <xdr:col>18</xdr:col>
      <xdr:colOff>178593</xdr:colOff>
      <xdr:row>56</xdr:row>
      <xdr:rowOff>166687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31</xdr:row>
      <xdr:rowOff>0</xdr:rowOff>
    </xdr:from>
    <xdr:to>
      <xdr:col>18</xdr:col>
      <xdr:colOff>166688</xdr:colOff>
      <xdr:row>57</xdr:row>
      <xdr:rowOff>11907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32</xdr:row>
      <xdr:rowOff>0</xdr:rowOff>
    </xdr:from>
    <xdr:to>
      <xdr:col>18</xdr:col>
      <xdr:colOff>166688</xdr:colOff>
      <xdr:row>58</xdr:row>
      <xdr:rowOff>11907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32</xdr:row>
      <xdr:rowOff>0</xdr:rowOff>
    </xdr:from>
    <xdr:to>
      <xdr:col>18</xdr:col>
      <xdr:colOff>166688</xdr:colOff>
      <xdr:row>58</xdr:row>
      <xdr:rowOff>11907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31</xdr:row>
      <xdr:rowOff>0</xdr:rowOff>
    </xdr:from>
    <xdr:to>
      <xdr:col>18</xdr:col>
      <xdr:colOff>166688</xdr:colOff>
      <xdr:row>57</xdr:row>
      <xdr:rowOff>11907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31</xdr:row>
      <xdr:rowOff>0</xdr:rowOff>
    </xdr:from>
    <xdr:to>
      <xdr:col>18</xdr:col>
      <xdr:colOff>166688</xdr:colOff>
      <xdr:row>57</xdr:row>
      <xdr:rowOff>11907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abSelected="1" zoomScale="85" zoomScaleNormal="85" workbookViewId="0">
      <selection activeCell="B40" sqref="B40"/>
    </sheetView>
  </sheetViews>
  <sheetFormatPr baseColWidth="10" defaultRowHeight="15" x14ac:dyDescent="0.25"/>
  <cols>
    <col min="1" max="1" width="23.28515625" style="83" customWidth="1"/>
    <col min="2" max="2" width="42" bestFit="1" customWidth="1"/>
    <col min="3" max="3" width="12.85546875" customWidth="1"/>
    <col min="4" max="5" width="5.85546875" customWidth="1"/>
    <col min="6" max="6" width="2.85546875" customWidth="1"/>
    <col min="7" max="7" width="5.85546875" customWidth="1"/>
    <col min="8" max="8" width="2.85546875" customWidth="1"/>
    <col min="9" max="11" width="5.85546875" customWidth="1"/>
    <col min="12" max="12" width="5.140625" style="137" bestFit="1" customWidth="1"/>
    <col min="13" max="13" width="5.140625" style="137" customWidth="1"/>
    <col min="14" max="14" width="2.85546875" customWidth="1"/>
    <col min="15" max="29" width="7.42578125" customWidth="1"/>
  </cols>
  <sheetData>
    <row r="1" spans="1:29" x14ac:dyDescent="0.25">
      <c r="A1" s="83" t="s">
        <v>47</v>
      </c>
    </row>
    <row r="3" spans="1:29" x14ac:dyDescent="0.25"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</row>
    <row r="4" spans="1:29" x14ac:dyDescent="0.25">
      <c r="L4" s="137" t="s">
        <v>48</v>
      </c>
      <c r="M4" s="137" t="s">
        <v>66</v>
      </c>
      <c r="O4" s="84">
        <v>-200</v>
      </c>
      <c r="P4" s="84">
        <v>-175</v>
      </c>
      <c r="Q4" s="84">
        <v>-150</v>
      </c>
      <c r="R4" s="84">
        <v>-125</v>
      </c>
      <c r="S4" s="84">
        <v>-100</v>
      </c>
      <c r="T4" s="84">
        <v>-75</v>
      </c>
      <c r="U4" s="84">
        <v>-50</v>
      </c>
      <c r="V4" s="84">
        <v>-25</v>
      </c>
      <c r="W4" s="84">
        <v>0</v>
      </c>
      <c r="X4" s="84">
        <v>25</v>
      </c>
      <c r="Y4" s="84">
        <v>50</v>
      </c>
      <c r="Z4" s="84">
        <v>75</v>
      </c>
      <c r="AA4" s="84">
        <v>100</v>
      </c>
      <c r="AB4" s="84">
        <v>125</v>
      </c>
      <c r="AC4" s="84">
        <v>150</v>
      </c>
    </row>
    <row r="5" spans="1:29" ht="15.75" thickBot="1" x14ac:dyDescent="0.3">
      <c r="R5" s="6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5.75" thickBot="1" x14ac:dyDescent="0.3">
      <c r="A6" s="138" t="s">
        <v>56</v>
      </c>
      <c r="B6" t="s">
        <v>67</v>
      </c>
      <c r="C6" s="83" t="s">
        <v>68</v>
      </c>
      <c r="D6" s="83" t="s">
        <v>48</v>
      </c>
      <c r="E6" s="139">
        <v>0</v>
      </c>
      <c r="G6" s="140" t="s">
        <v>69</v>
      </c>
      <c r="I6" s="83" t="s">
        <v>70</v>
      </c>
      <c r="J6" s="139">
        <v>3</v>
      </c>
      <c r="L6" s="137" t="s">
        <v>70</v>
      </c>
      <c r="M6" s="137" t="s">
        <v>66</v>
      </c>
      <c r="O6" s="141">
        <v>3</v>
      </c>
      <c r="P6" s="141">
        <v>3</v>
      </c>
      <c r="Q6" s="141">
        <v>3</v>
      </c>
      <c r="R6" s="141">
        <v>3</v>
      </c>
      <c r="S6" s="141">
        <v>3</v>
      </c>
      <c r="T6" s="141">
        <v>3</v>
      </c>
      <c r="U6" s="141">
        <v>3</v>
      </c>
      <c r="V6" s="141">
        <v>3</v>
      </c>
      <c r="W6" s="141">
        <v>3</v>
      </c>
      <c r="X6" s="86">
        <f t="shared" ref="X6:AC6" si="0">-($J$6-$J$8)/$E$8*X4+$J$6</f>
        <v>1.8333333333333333</v>
      </c>
      <c r="Y6" s="86">
        <f t="shared" si="0"/>
        <v>0.66666666666666652</v>
      </c>
      <c r="Z6" s="86">
        <f t="shared" si="0"/>
        <v>-0.5</v>
      </c>
      <c r="AA6" s="86">
        <f t="shared" si="0"/>
        <v>-1.666666666666667</v>
      </c>
      <c r="AB6" s="86">
        <f t="shared" si="0"/>
        <v>-2.8333333333333339</v>
      </c>
      <c r="AC6" s="86">
        <f t="shared" si="0"/>
        <v>-4</v>
      </c>
    </row>
    <row r="7" spans="1:29" ht="15.75" thickBot="1" x14ac:dyDescent="0.3">
      <c r="C7" s="9"/>
      <c r="D7" s="13"/>
      <c r="E7" s="142"/>
      <c r="F7" s="142"/>
      <c r="G7" s="9"/>
      <c r="H7" s="142"/>
      <c r="I7" s="9"/>
      <c r="J7" s="142"/>
      <c r="K7" s="142"/>
      <c r="L7" s="143"/>
      <c r="M7" s="143"/>
      <c r="N7" s="87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</row>
    <row r="8" spans="1:29" ht="15.75" thickBot="1" x14ac:dyDescent="0.3">
      <c r="C8" s="82" t="s">
        <v>71</v>
      </c>
      <c r="D8" s="83" t="s">
        <v>48</v>
      </c>
      <c r="E8" s="144">
        <v>150</v>
      </c>
      <c r="G8" s="140" t="s">
        <v>69</v>
      </c>
      <c r="I8" s="83" t="s">
        <v>70</v>
      </c>
      <c r="J8" s="144">
        <v>-4</v>
      </c>
      <c r="K8" s="9"/>
      <c r="O8" s="145"/>
      <c r="P8" s="145"/>
      <c r="Q8" s="145"/>
      <c r="R8" s="145"/>
      <c r="S8" s="145" t="s">
        <v>72</v>
      </c>
      <c r="T8" s="145"/>
      <c r="U8" s="145"/>
      <c r="V8" s="145"/>
      <c r="W8" s="145"/>
      <c r="X8" s="145" t="s">
        <v>73</v>
      </c>
      <c r="Y8" s="146">
        <f>-($J$6-$J$8)/$E$8</f>
        <v>-4.6666666666666669E-2</v>
      </c>
      <c r="AA8" s="147" t="s">
        <v>74</v>
      </c>
      <c r="AB8" s="145"/>
      <c r="AC8" s="146">
        <f>$J$6</f>
        <v>3</v>
      </c>
    </row>
    <row r="9" spans="1:29" x14ac:dyDescent="0.25"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</row>
    <row r="10" spans="1:29" x14ac:dyDescent="0.25"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</row>
    <row r="11" spans="1:29" x14ac:dyDescent="0.25">
      <c r="A11" s="24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9"/>
      <c r="M11" s="149"/>
      <c r="N11" s="148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</row>
    <row r="12" spans="1:29" x14ac:dyDescent="0.25">
      <c r="A12" s="8"/>
      <c r="B12" s="5"/>
      <c r="C12" s="5"/>
      <c r="D12" s="5"/>
      <c r="E12" s="5"/>
      <c r="F12" s="5"/>
      <c r="G12" s="5"/>
      <c r="H12" s="5"/>
      <c r="I12" s="5"/>
      <c r="J12" s="5"/>
      <c r="K12" s="5"/>
      <c r="L12" s="42"/>
      <c r="M12" s="42"/>
      <c r="N12" s="5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</row>
    <row r="13" spans="1:29" x14ac:dyDescent="0.25">
      <c r="A13" s="8"/>
      <c r="B13" s="5"/>
      <c r="C13" s="5"/>
      <c r="D13" s="5"/>
      <c r="E13" s="5"/>
      <c r="F13" s="5"/>
      <c r="G13" s="5"/>
      <c r="H13" s="5"/>
      <c r="I13" s="5"/>
      <c r="J13" s="5"/>
      <c r="K13" s="5"/>
      <c r="L13" s="137" t="s">
        <v>48</v>
      </c>
      <c r="M13" s="137" t="s">
        <v>66</v>
      </c>
      <c r="O13" s="84">
        <v>-200</v>
      </c>
      <c r="P13" s="84">
        <v>-175</v>
      </c>
      <c r="Q13" s="84">
        <v>-150</v>
      </c>
      <c r="R13" s="84">
        <v>-125</v>
      </c>
      <c r="S13" s="84">
        <v>-100</v>
      </c>
      <c r="T13" s="84">
        <v>-75</v>
      </c>
      <c r="U13" s="84">
        <v>-50</v>
      </c>
      <c r="V13" s="84">
        <v>-25</v>
      </c>
      <c r="W13" s="84">
        <v>0</v>
      </c>
      <c r="X13" s="84">
        <v>25</v>
      </c>
      <c r="Y13" s="84">
        <v>50</v>
      </c>
      <c r="Z13" s="84">
        <v>75</v>
      </c>
      <c r="AA13" s="84">
        <v>100</v>
      </c>
      <c r="AB13" s="84">
        <v>125</v>
      </c>
      <c r="AC13" s="84">
        <v>150</v>
      </c>
    </row>
    <row r="14" spans="1:29" ht="15.75" thickBot="1" x14ac:dyDescent="0.3">
      <c r="R14" s="6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.75" thickBot="1" x14ac:dyDescent="0.3">
      <c r="A15" s="152" t="s">
        <v>75</v>
      </c>
      <c r="B15" t="s">
        <v>76</v>
      </c>
      <c r="C15" s="83" t="s">
        <v>68</v>
      </c>
      <c r="D15" s="83" t="s">
        <v>48</v>
      </c>
      <c r="E15" s="139">
        <v>0</v>
      </c>
      <c r="G15" s="140" t="s">
        <v>69</v>
      </c>
      <c r="I15" s="83" t="s">
        <v>70</v>
      </c>
      <c r="J15" s="139">
        <v>10</v>
      </c>
      <c r="L15" s="137" t="s">
        <v>70</v>
      </c>
      <c r="M15" s="137" t="s">
        <v>66</v>
      </c>
      <c r="O15" s="141">
        <v>10</v>
      </c>
      <c r="P15" s="141">
        <v>10</v>
      </c>
      <c r="Q15" s="141">
        <v>10</v>
      </c>
      <c r="R15" s="141">
        <v>10</v>
      </c>
      <c r="S15" s="141">
        <v>10</v>
      </c>
      <c r="T15" s="141">
        <v>10</v>
      </c>
      <c r="U15" s="141">
        <v>10</v>
      </c>
      <c r="V15" s="141">
        <v>10</v>
      </c>
      <c r="W15" s="141">
        <v>10</v>
      </c>
      <c r="X15" s="86">
        <f t="shared" ref="X15:AC15" si="1">-($J$15-$J$17)/$E$17*X13+$J$15</f>
        <v>7.6666666666666661</v>
      </c>
      <c r="Y15" s="86">
        <f t="shared" si="1"/>
        <v>5.333333333333333</v>
      </c>
      <c r="Z15" s="86">
        <f t="shared" si="1"/>
        <v>3</v>
      </c>
      <c r="AA15" s="86">
        <f t="shared" si="1"/>
        <v>0.66666666666666607</v>
      </c>
      <c r="AB15" s="86">
        <f t="shared" si="1"/>
        <v>-1.6666666666666679</v>
      </c>
      <c r="AC15" s="86">
        <f t="shared" si="1"/>
        <v>-4</v>
      </c>
    </row>
    <row r="16" spans="1:29" ht="15.75" thickBot="1" x14ac:dyDescent="0.3">
      <c r="C16" s="9"/>
      <c r="D16" s="13"/>
      <c r="E16" s="142"/>
      <c r="F16" s="142"/>
      <c r="G16" s="9"/>
      <c r="H16" s="142"/>
      <c r="I16" s="9"/>
      <c r="J16" s="142"/>
      <c r="K16" s="142"/>
      <c r="L16" s="143"/>
      <c r="M16" s="143"/>
      <c r="N16" s="87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</row>
    <row r="17" spans="2:29" ht="15.75" thickBot="1" x14ac:dyDescent="0.3">
      <c r="C17" s="82" t="s">
        <v>71</v>
      </c>
      <c r="D17" s="83" t="s">
        <v>48</v>
      </c>
      <c r="E17" s="144">
        <v>150</v>
      </c>
      <c r="G17" s="140" t="s">
        <v>69</v>
      </c>
      <c r="I17" s="83" t="s">
        <v>70</v>
      </c>
      <c r="J17" s="144">
        <v>-4</v>
      </c>
      <c r="K17" s="9"/>
      <c r="O17" s="145"/>
      <c r="P17" s="145"/>
      <c r="Q17" s="145"/>
      <c r="R17" s="145"/>
      <c r="S17" s="145" t="s">
        <v>72</v>
      </c>
      <c r="T17" s="145"/>
      <c r="U17" s="145"/>
      <c r="V17" s="145"/>
      <c r="W17" s="145"/>
      <c r="X17" s="145" t="s">
        <v>73</v>
      </c>
      <c r="Y17" s="146">
        <f>-($J$15-$J$17)/$E$17</f>
        <v>-9.3333333333333338E-2</v>
      </c>
      <c r="AA17" s="147" t="s">
        <v>74</v>
      </c>
      <c r="AB17" s="145"/>
      <c r="AC17" s="146">
        <f>$J$15</f>
        <v>10</v>
      </c>
    </row>
    <row r="18" spans="2:29" x14ac:dyDescent="0.25">
      <c r="B18" s="87"/>
      <c r="C18" s="9"/>
      <c r="D18" s="142"/>
      <c r="E18" s="9"/>
      <c r="F18" s="9"/>
      <c r="G18" s="142"/>
      <c r="H18" s="9"/>
      <c r="I18" s="142"/>
      <c r="J18" s="9"/>
      <c r="K18" s="9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145"/>
      <c r="Z18" s="145"/>
      <c r="AA18" s="145"/>
      <c r="AB18" s="145"/>
      <c r="AC18" s="145"/>
    </row>
    <row r="19" spans="2:29" x14ac:dyDescent="0.25">
      <c r="O19" s="98"/>
      <c r="P19" s="98"/>
      <c r="Q19" s="98"/>
      <c r="R19" s="98"/>
      <c r="S19" s="98"/>
      <c r="T19" s="98" t="s">
        <v>78</v>
      </c>
      <c r="U19" s="98"/>
      <c r="V19" s="98"/>
      <c r="W19" s="98"/>
      <c r="X19" s="98"/>
      <c r="Y19" s="98"/>
      <c r="Z19" s="98"/>
      <c r="AA19" s="98"/>
      <c r="AB19" s="98"/>
      <c r="AC19" s="98"/>
    </row>
    <row r="28" spans="2:29" x14ac:dyDescent="0.25">
      <c r="P28" s="85"/>
      <c r="Q28" s="85"/>
      <c r="R28" s="85"/>
      <c r="S28" s="85"/>
      <c r="T28" s="85"/>
      <c r="U28" s="85"/>
      <c r="V28" s="85"/>
      <c r="W28" s="85"/>
      <c r="X28" s="85"/>
    </row>
    <row r="39" spans="2:2" x14ac:dyDescent="0.25">
      <c r="B39" t="s">
        <v>78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opLeftCell="C1" zoomScaleNormal="100" workbookViewId="0">
      <pane ySplit="5" topLeftCell="A20" activePane="bottomLeft" state="frozen"/>
      <selection pane="bottomLeft" activeCell="K22" sqref="K22"/>
    </sheetView>
  </sheetViews>
  <sheetFormatPr baseColWidth="10" defaultRowHeight="15" x14ac:dyDescent="0.25"/>
  <cols>
    <col min="1" max="1" width="37.140625" customWidth="1"/>
    <col min="2" max="2" width="7.28515625" customWidth="1"/>
    <col min="3" max="3" width="26" bestFit="1" customWidth="1"/>
    <col min="5" max="5" width="23.85546875" customWidth="1"/>
    <col min="6" max="6" width="15.85546875" customWidth="1"/>
    <col min="7" max="11" width="18.5703125" customWidth="1"/>
    <col min="13" max="13" width="27" bestFit="1" customWidth="1"/>
  </cols>
  <sheetData>
    <row r="1" spans="1:18" ht="21" x14ac:dyDescent="0.35">
      <c r="A1" s="1" t="s">
        <v>4</v>
      </c>
      <c r="J1" s="22" t="s">
        <v>56</v>
      </c>
      <c r="K1" s="22" t="s">
        <v>55</v>
      </c>
    </row>
    <row r="4" spans="1:18" ht="15.75" x14ac:dyDescent="0.25">
      <c r="A4" s="11" t="s">
        <v>8</v>
      </c>
      <c r="B4" s="24"/>
      <c r="C4" s="35"/>
      <c r="D4" s="35"/>
      <c r="E4" s="35"/>
      <c r="F4" s="3">
        <v>2018</v>
      </c>
      <c r="G4" s="3">
        <v>2019</v>
      </c>
      <c r="H4" s="3">
        <v>2020</v>
      </c>
      <c r="I4" s="3">
        <v>2021</v>
      </c>
      <c r="J4" s="3">
        <v>2022</v>
      </c>
      <c r="K4" s="4">
        <v>2023</v>
      </c>
      <c r="M4" s="98"/>
    </row>
    <row r="5" spans="1:18" x14ac:dyDescent="0.25">
      <c r="A5" s="40"/>
      <c r="B5" s="37"/>
      <c r="C5" s="37"/>
      <c r="D5" s="37"/>
      <c r="E5" s="37"/>
      <c r="F5" s="129" t="s">
        <v>0</v>
      </c>
      <c r="G5" s="129" t="s">
        <v>1</v>
      </c>
      <c r="H5" s="129" t="s">
        <v>1</v>
      </c>
      <c r="I5" s="129" t="s">
        <v>2</v>
      </c>
      <c r="J5" s="129" t="s">
        <v>2</v>
      </c>
      <c r="K5" s="130" t="s">
        <v>2</v>
      </c>
      <c r="M5" s="82"/>
    </row>
    <row r="6" spans="1:18" x14ac:dyDescent="0.25">
      <c r="A6" s="40"/>
      <c r="B6" s="37"/>
      <c r="C6" s="37"/>
      <c r="D6" s="37"/>
      <c r="E6" s="37"/>
      <c r="F6" s="37"/>
      <c r="G6" s="21"/>
      <c r="H6" s="37"/>
      <c r="I6" s="37"/>
      <c r="J6" s="37"/>
      <c r="K6" s="41"/>
      <c r="M6" s="98"/>
    </row>
    <row r="7" spans="1:18" x14ac:dyDescent="0.25">
      <c r="A7" s="7" t="s">
        <v>27</v>
      </c>
      <c r="B7" s="42" t="s">
        <v>28</v>
      </c>
      <c r="C7" s="8"/>
      <c r="D7" s="8"/>
      <c r="E7" s="8"/>
      <c r="F7" s="103">
        <v>-110775927.09999999</v>
      </c>
      <c r="G7" s="104">
        <v>-11453600</v>
      </c>
      <c r="H7" s="103">
        <v>-1953700</v>
      </c>
      <c r="I7" s="103">
        <v>-1816300</v>
      </c>
      <c r="J7" s="103">
        <v>-977100</v>
      </c>
      <c r="K7" s="105">
        <v>-3046800</v>
      </c>
      <c r="M7" s="99"/>
      <c r="N7" s="2"/>
      <c r="O7" s="2"/>
      <c r="P7" s="2"/>
      <c r="Q7" s="2"/>
      <c r="R7" s="2"/>
    </row>
    <row r="8" spans="1:18" x14ac:dyDescent="0.25">
      <c r="A8" s="40" t="s">
        <v>22</v>
      </c>
      <c r="B8" s="36">
        <v>383</v>
      </c>
      <c r="C8" s="36" t="s">
        <v>30</v>
      </c>
      <c r="D8" s="37"/>
      <c r="E8" s="37"/>
      <c r="F8" s="106">
        <v>81654371.530000001</v>
      </c>
      <c r="G8" s="107"/>
      <c r="H8" s="106"/>
      <c r="I8" s="106"/>
      <c r="J8" s="106"/>
      <c r="K8" s="108"/>
      <c r="M8" s="99"/>
    </row>
    <row r="9" spans="1:18" x14ac:dyDescent="0.25">
      <c r="A9" s="40"/>
      <c r="B9" s="36">
        <v>387</v>
      </c>
      <c r="C9" s="36" t="s">
        <v>29</v>
      </c>
      <c r="D9" s="37"/>
      <c r="E9" s="37"/>
      <c r="F9" s="109"/>
      <c r="G9" s="109"/>
      <c r="H9" s="109"/>
      <c r="I9" s="109"/>
      <c r="J9" s="109"/>
      <c r="K9" s="110"/>
      <c r="M9" s="99"/>
    </row>
    <row r="10" spans="1:18" x14ac:dyDescent="0.25">
      <c r="A10" s="40"/>
      <c r="B10" s="36">
        <v>389</v>
      </c>
      <c r="C10" s="36" t="s">
        <v>25</v>
      </c>
      <c r="D10" s="37"/>
      <c r="E10" s="37"/>
      <c r="F10" s="106"/>
      <c r="G10" s="107"/>
      <c r="H10" s="106"/>
      <c r="I10" s="106"/>
      <c r="J10" s="106"/>
      <c r="K10" s="108"/>
      <c r="M10" s="99"/>
    </row>
    <row r="11" spans="1:18" x14ac:dyDescent="0.25">
      <c r="A11" s="43" t="s">
        <v>23</v>
      </c>
      <c r="B11" s="44">
        <v>489</v>
      </c>
      <c r="C11" s="36" t="s">
        <v>26</v>
      </c>
      <c r="D11" s="39"/>
      <c r="E11" s="39"/>
      <c r="F11" s="106"/>
      <c r="G11" s="107">
        <v>-14500000</v>
      </c>
      <c r="H11" s="106"/>
      <c r="I11" s="106"/>
      <c r="J11" s="106"/>
      <c r="K11" s="108"/>
      <c r="M11" s="99"/>
    </row>
    <row r="12" spans="1:18" x14ac:dyDescent="0.25">
      <c r="A12" s="7" t="s">
        <v>3</v>
      </c>
      <c r="B12" s="8"/>
      <c r="C12" s="36"/>
      <c r="D12" s="8"/>
      <c r="E12" s="8"/>
      <c r="F12" s="103">
        <f t="shared" ref="F12:K12" si="0">SUM(F7:F11)</f>
        <v>-29121555.569999993</v>
      </c>
      <c r="G12" s="104">
        <f t="shared" si="0"/>
        <v>-25953600</v>
      </c>
      <c r="H12" s="103">
        <f t="shared" si="0"/>
        <v>-1953700</v>
      </c>
      <c r="I12" s="103">
        <f t="shared" si="0"/>
        <v>-1816300</v>
      </c>
      <c r="J12" s="103">
        <f t="shared" si="0"/>
        <v>-977100</v>
      </c>
      <c r="K12" s="105">
        <f t="shared" si="0"/>
        <v>-3046800</v>
      </c>
      <c r="L12" s="98"/>
      <c r="M12" s="99"/>
    </row>
    <row r="13" spans="1:18" x14ac:dyDescent="0.25">
      <c r="A13" s="40"/>
      <c r="B13" s="37"/>
      <c r="C13" s="36"/>
      <c r="D13" s="37"/>
      <c r="E13" s="37"/>
      <c r="F13" s="111"/>
      <c r="G13" s="112"/>
      <c r="H13" s="111"/>
      <c r="I13" s="111"/>
      <c r="J13" s="111"/>
      <c r="K13" s="113"/>
      <c r="L13" s="98"/>
      <c r="M13" s="98"/>
    </row>
    <row r="14" spans="1:18" ht="17.25" x14ac:dyDescent="0.25">
      <c r="A14" s="12" t="s">
        <v>20</v>
      </c>
      <c r="B14" s="36">
        <v>40</v>
      </c>
      <c r="C14" s="36" t="s">
        <v>20</v>
      </c>
      <c r="D14" s="13"/>
      <c r="E14" s="8"/>
      <c r="F14" s="103">
        <v>-103583720.84999999</v>
      </c>
      <c r="G14" s="104">
        <v>-107741500</v>
      </c>
      <c r="H14" s="103">
        <v>-118942000</v>
      </c>
      <c r="I14" s="103">
        <v>-124204000</v>
      </c>
      <c r="J14" s="103">
        <v>-128911000</v>
      </c>
      <c r="K14" s="105">
        <v>-133764000</v>
      </c>
      <c r="L14" s="102"/>
      <c r="M14" s="98"/>
    </row>
    <row r="15" spans="1:18" x14ac:dyDescent="0.25">
      <c r="A15" s="43"/>
      <c r="B15" s="39"/>
      <c r="C15" s="36"/>
      <c r="D15" s="39"/>
      <c r="E15" s="37"/>
      <c r="F15" s="60"/>
      <c r="G15" s="112"/>
      <c r="H15" s="111"/>
      <c r="I15" s="111"/>
      <c r="J15" s="111"/>
      <c r="K15" s="113"/>
      <c r="L15" s="98"/>
      <c r="M15" s="98"/>
    </row>
    <row r="16" spans="1:18" x14ac:dyDescent="0.25">
      <c r="A16" s="12" t="s">
        <v>54</v>
      </c>
      <c r="B16" s="13"/>
      <c r="C16" s="36"/>
      <c r="D16" s="13"/>
      <c r="E16" s="8"/>
      <c r="F16" s="103">
        <v>-10374393.73</v>
      </c>
      <c r="G16" s="104">
        <v>29982000</v>
      </c>
      <c r="H16" s="104">
        <v>52161000</v>
      </c>
      <c r="I16" s="104">
        <v>65889000</v>
      </c>
      <c r="J16" s="104">
        <v>85922000</v>
      </c>
      <c r="K16" s="114">
        <v>108847000</v>
      </c>
      <c r="L16" s="98"/>
      <c r="M16" s="98"/>
    </row>
    <row r="17" spans="1:25" x14ac:dyDescent="0.25">
      <c r="A17" s="12"/>
      <c r="B17" s="13"/>
      <c r="C17" s="36"/>
      <c r="D17" s="13"/>
      <c r="E17" s="8"/>
      <c r="F17" s="103"/>
      <c r="G17" s="104"/>
      <c r="H17" s="104"/>
      <c r="I17" s="104"/>
      <c r="J17" s="104"/>
      <c r="K17" s="114"/>
      <c r="L17" s="98"/>
      <c r="M17" s="9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x14ac:dyDescent="0.25">
      <c r="A18" s="12" t="s">
        <v>7</v>
      </c>
      <c r="B18" s="13"/>
      <c r="C18" s="36"/>
      <c r="D18" s="13"/>
      <c r="E18" s="8"/>
      <c r="F18" s="128">
        <f t="shared" ref="F18:K18" si="1">-1/F14*F16</f>
        <v>-0.10015467338756059</v>
      </c>
      <c r="G18" s="128">
        <f t="shared" si="1"/>
        <v>0.27827717267719498</v>
      </c>
      <c r="H18" s="128">
        <f t="shared" si="1"/>
        <v>0.43854147399572901</v>
      </c>
      <c r="I18" s="128">
        <f t="shared" si="1"/>
        <v>0.53049016134746063</v>
      </c>
      <c r="J18" s="128">
        <f t="shared" si="1"/>
        <v>0.66652186392162027</v>
      </c>
      <c r="K18" s="131">
        <f t="shared" si="1"/>
        <v>0.81372417092790283</v>
      </c>
      <c r="L18" s="98"/>
      <c r="M18" s="132"/>
      <c r="N18" s="133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x14ac:dyDescent="0.25">
      <c r="A19" s="134" t="s">
        <v>62</v>
      </c>
      <c r="B19" s="14"/>
      <c r="C19" s="38"/>
      <c r="D19" s="14"/>
      <c r="E19" s="10"/>
      <c r="F19" s="65" t="str">
        <f>IF(F18&lt;100%,"gut", IF(F18&gt;150%,"schlecht","genügend"))</f>
        <v>gut</v>
      </c>
      <c r="G19" s="65" t="str">
        <f t="shared" ref="G19:K19" si="2">IF(G18&lt;100%,"gut", IF(G18&gt;150%,"schlecht","genügend"))</f>
        <v>gut</v>
      </c>
      <c r="H19" s="65" t="str">
        <f t="shared" si="2"/>
        <v>gut</v>
      </c>
      <c r="I19" s="65" t="str">
        <f t="shared" si="2"/>
        <v>gut</v>
      </c>
      <c r="J19" s="65" t="str">
        <f t="shared" si="2"/>
        <v>gut</v>
      </c>
      <c r="K19" s="66" t="str">
        <f t="shared" si="2"/>
        <v>gut</v>
      </c>
      <c r="L19" s="9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5"/>
    </row>
    <row r="20" spans="1:25" x14ac:dyDescent="0.25">
      <c r="F20" s="67"/>
      <c r="G20" s="68"/>
      <c r="H20" s="67"/>
      <c r="I20" s="67"/>
      <c r="J20" s="67"/>
      <c r="K20" s="67"/>
      <c r="L20" s="98"/>
      <c r="M20" s="9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x14ac:dyDescent="0.25">
      <c r="A21" s="32" t="s">
        <v>5</v>
      </c>
      <c r="B21" s="27" t="s">
        <v>60</v>
      </c>
      <c r="C21" s="28"/>
      <c r="D21" s="28"/>
      <c r="E21" s="28"/>
      <c r="F21" s="115"/>
      <c r="G21" s="116">
        <v>18378200</v>
      </c>
      <c r="H21" s="115">
        <v>24855125</v>
      </c>
      <c r="I21" s="115">
        <v>18802200</v>
      </c>
      <c r="J21" s="115">
        <v>27250000</v>
      </c>
      <c r="K21" s="117">
        <v>30640000</v>
      </c>
      <c r="L21" s="98"/>
      <c r="M21" s="9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x14ac:dyDescent="0.25">
      <c r="A22" s="126"/>
      <c r="B22" s="25" t="s">
        <v>59</v>
      </c>
      <c r="C22" s="18"/>
      <c r="D22" s="18"/>
      <c r="E22" s="18"/>
      <c r="F22" s="101"/>
      <c r="G22" s="121"/>
      <c r="H22" s="101"/>
      <c r="I22" s="127"/>
      <c r="J22" s="127"/>
      <c r="K22" s="127"/>
      <c r="L22" s="98"/>
      <c r="M22" s="98"/>
    </row>
    <row r="23" spans="1:25" x14ac:dyDescent="0.25">
      <c r="A23" s="124"/>
      <c r="B23" s="26" t="s">
        <v>10</v>
      </c>
      <c r="C23" s="23"/>
      <c r="D23" s="23"/>
      <c r="E23" s="23"/>
      <c r="F23" s="118"/>
      <c r="G23" s="119"/>
      <c r="H23" s="118"/>
      <c r="I23" s="118">
        <f>I21+I22</f>
        <v>18802200</v>
      </c>
      <c r="J23" s="118">
        <f>J21+J22</f>
        <v>27250000</v>
      </c>
      <c r="K23" s="120">
        <f>K21+K22</f>
        <v>30640000</v>
      </c>
      <c r="L23" s="98"/>
      <c r="M23" s="98"/>
    </row>
    <row r="24" spans="1:25" x14ac:dyDescent="0.25">
      <c r="A24" s="34" t="s">
        <v>6</v>
      </c>
      <c r="B24" s="25">
        <v>33</v>
      </c>
      <c r="C24" s="18" t="s">
        <v>31</v>
      </c>
      <c r="D24" s="18"/>
      <c r="E24" s="18"/>
      <c r="F24" s="101">
        <v>7849756.3799999999</v>
      </c>
      <c r="G24" s="121">
        <v>776000</v>
      </c>
      <c r="H24" s="101">
        <v>2018800</v>
      </c>
      <c r="I24" s="101">
        <v>3962500</v>
      </c>
      <c r="J24" s="101">
        <v>4814000</v>
      </c>
      <c r="K24" s="122">
        <v>6493000</v>
      </c>
      <c r="L24" s="98"/>
      <c r="M24" s="98"/>
    </row>
    <row r="25" spans="1:25" x14ac:dyDescent="0.25">
      <c r="A25" s="34"/>
      <c r="B25" s="25">
        <v>366</v>
      </c>
      <c r="C25" s="18" t="s">
        <v>32</v>
      </c>
      <c r="D25" s="18"/>
      <c r="E25" s="18"/>
      <c r="F25" s="101">
        <v>7041672.2000000002</v>
      </c>
      <c r="G25" s="121">
        <v>863000</v>
      </c>
      <c r="H25" s="101">
        <v>1396000</v>
      </c>
      <c r="I25" s="101">
        <v>2208000</v>
      </c>
      <c r="J25" s="101">
        <v>2953000</v>
      </c>
      <c r="K25" s="122">
        <v>3621000</v>
      </c>
      <c r="L25" s="98"/>
      <c r="M25" s="98"/>
    </row>
    <row r="26" spans="1:25" x14ac:dyDescent="0.25">
      <c r="A26" s="125"/>
      <c r="B26" s="25" t="s">
        <v>61</v>
      </c>
      <c r="C26" s="18"/>
      <c r="D26" s="18"/>
      <c r="E26" s="18"/>
      <c r="F26" s="101"/>
      <c r="G26" s="121"/>
      <c r="H26" s="101"/>
      <c r="I26" s="101"/>
      <c r="J26" s="101">
        <f>0.1*I22</f>
        <v>0</v>
      </c>
      <c r="K26" s="122">
        <f>0.1*(I22-J26)+0.1*J22</f>
        <v>0</v>
      </c>
      <c r="L26" s="98"/>
      <c r="M26" s="98"/>
    </row>
    <row r="27" spans="1:25" x14ac:dyDescent="0.25">
      <c r="A27" s="16"/>
      <c r="B27" s="26" t="s">
        <v>10</v>
      </c>
      <c r="C27" s="23"/>
      <c r="D27" s="23"/>
      <c r="E27" s="23"/>
      <c r="F27" s="118">
        <f>F24+F25+F26</f>
        <v>14891428.58</v>
      </c>
      <c r="G27" s="119">
        <f t="shared" ref="G27:I27" si="3">G24+G25+G26</f>
        <v>1639000</v>
      </c>
      <c r="H27" s="118">
        <f t="shared" si="3"/>
        <v>3414800</v>
      </c>
      <c r="I27" s="118">
        <f t="shared" si="3"/>
        <v>6170500</v>
      </c>
      <c r="J27" s="118">
        <f>J24+J25+J26</f>
        <v>7767000</v>
      </c>
      <c r="K27" s="120">
        <f>K24+K25+K26</f>
        <v>10114000</v>
      </c>
      <c r="L27" s="98"/>
      <c r="M27" s="98"/>
    </row>
    <row r="28" spans="1:25" x14ac:dyDescent="0.25">
      <c r="A28" s="33" t="s">
        <v>18</v>
      </c>
      <c r="B28" s="25">
        <v>35</v>
      </c>
      <c r="C28" s="31" t="s">
        <v>33</v>
      </c>
      <c r="D28" s="18"/>
      <c r="E28" s="18"/>
      <c r="F28" s="101"/>
      <c r="G28" s="121">
        <v>2889700</v>
      </c>
      <c r="H28" s="101">
        <v>2077000</v>
      </c>
      <c r="I28" s="101">
        <v>1508000</v>
      </c>
      <c r="J28" s="101">
        <v>1214000</v>
      </c>
      <c r="K28" s="122">
        <v>1433000</v>
      </c>
      <c r="L28" s="98"/>
      <c r="M28" s="98"/>
    </row>
    <row r="29" spans="1:25" x14ac:dyDescent="0.25">
      <c r="A29" s="15"/>
      <c r="B29" s="25">
        <v>45</v>
      </c>
      <c r="C29" s="31" t="s">
        <v>34</v>
      </c>
      <c r="D29" s="18"/>
      <c r="E29" s="18"/>
      <c r="F29" s="101"/>
      <c r="G29" s="121">
        <v>-552700</v>
      </c>
      <c r="H29" s="101">
        <v>-791300</v>
      </c>
      <c r="I29" s="101">
        <v>-789100</v>
      </c>
      <c r="J29" s="101">
        <v>-786900</v>
      </c>
      <c r="K29" s="122">
        <v>-784600</v>
      </c>
      <c r="L29" s="98"/>
      <c r="M29" s="98"/>
    </row>
    <row r="30" spans="1:25" x14ac:dyDescent="0.25">
      <c r="A30" s="16"/>
      <c r="B30" s="26" t="s">
        <v>11</v>
      </c>
      <c r="C30" s="23"/>
      <c r="D30" s="23"/>
      <c r="E30" s="23"/>
      <c r="F30" s="118">
        <f>F28+F29</f>
        <v>0</v>
      </c>
      <c r="G30" s="119">
        <f t="shared" ref="G30:K30" si="4">G28+G29</f>
        <v>2337000</v>
      </c>
      <c r="H30" s="118">
        <f t="shared" si="4"/>
        <v>1285700</v>
      </c>
      <c r="I30" s="118">
        <f t="shared" si="4"/>
        <v>718900</v>
      </c>
      <c r="J30" s="118">
        <f t="shared" si="4"/>
        <v>427100</v>
      </c>
      <c r="K30" s="120">
        <f t="shared" si="4"/>
        <v>648400</v>
      </c>
      <c r="L30" s="98"/>
      <c r="M30" s="98"/>
    </row>
    <row r="31" spans="1:25" x14ac:dyDescent="0.25">
      <c r="A31" s="18"/>
      <c r="B31" s="5"/>
      <c r="C31" s="5"/>
      <c r="D31" s="5"/>
      <c r="E31" s="5"/>
      <c r="F31" s="123"/>
      <c r="G31" s="123"/>
      <c r="H31" s="123"/>
      <c r="I31" s="123"/>
      <c r="J31" s="123"/>
      <c r="K31" s="123"/>
      <c r="L31" s="98"/>
      <c r="M31" s="98"/>
    </row>
    <row r="32" spans="1:25" x14ac:dyDescent="0.25">
      <c r="F32" s="98"/>
      <c r="G32" s="98"/>
      <c r="H32" s="98"/>
      <c r="I32" s="98"/>
      <c r="J32" s="98"/>
      <c r="K32" s="98"/>
      <c r="L32" s="98"/>
      <c r="M32" s="98"/>
    </row>
    <row r="35" spans="2:12" x14ac:dyDescent="0.25">
      <c r="F35" s="88"/>
      <c r="H35" s="88"/>
      <c r="I35" s="94"/>
      <c r="J35" s="95" t="s">
        <v>49</v>
      </c>
      <c r="K35" s="94"/>
    </row>
    <row r="36" spans="2:12" x14ac:dyDescent="0.25">
      <c r="F36" s="88"/>
      <c r="H36" s="88"/>
      <c r="I36" s="88"/>
      <c r="J36" s="88"/>
      <c r="K36" s="88"/>
    </row>
    <row r="37" spans="2:12" x14ac:dyDescent="0.25">
      <c r="B37" s="5"/>
      <c r="C37" s="8" t="s">
        <v>57</v>
      </c>
      <c r="F37" s="89"/>
      <c r="H37" s="89"/>
      <c r="I37" s="96">
        <f>IF(H45&gt;0,Grundeinstellungen!$Y$8*H45+Grundeinstellungen!$AC$8,3)</f>
        <v>0.95347312135326456</v>
      </c>
      <c r="J37" s="96">
        <f>IF(I45&gt;0,Grundeinstellungen!$Y$8*I45+Grundeinstellungen!$AC$8,3)</f>
        <v>0.54808561028888336</v>
      </c>
      <c r="K37" s="96">
        <f>IF(J45&gt;0,Grundeinstellungen!$Y$8*J45+Grundeinstellungen!$AC$8,3)</f>
        <v>-7.7800243460349972E-2</v>
      </c>
    </row>
    <row r="38" spans="2:12" x14ac:dyDescent="0.25">
      <c r="B38" s="5"/>
      <c r="C38" s="90" t="s">
        <v>50</v>
      </c>
      <c r="F38" s="89"/>
      <c r="H38" s="89"/>
      <c r="I38" s="88"/>
      <c r="J38" s="88"/>
      <c r="K38" s="88"/>
    </row>
    <row r="39" spans="2:12" x14ac:dyDescent="0.25">
      <c r="B39" s="5"/>
      <c r="F39" s="88"/>
      <c r="H39" s="88"/>
      <c r="I39" s="88"/>
      <c r="J39" s="88"/>
      <c r="K39" s="88"/>
    </row>
    <row r="40" spans="2:12" x14ac:dyDescent="0.25">
      <c r="B40" s="5"/>
      <c r="C40" s="8" t="s">
        <v>58</v>
      </c>
      <c r="F40" s="91"/>
      <c r="H40" s="91"/>
      <c r="I40" s="92">
        <f>I37*I14/100</f>
        <v>-1184251.7556456088</v>
      </c>
      <c r="J40" s="92">
        <f>J37*J14/100</f>
        <v>-706542.64107950241</v>
      </c>
      <c r="K40" s="92">
        <f>K37*K14/100</f>
        <v>104068.71766230253</v>
      </c>
    </row>
    <row r="41" spans="2:12" x14ac:dyDescent="0.25">
      <c r="C41" s="90" t="s">
        <v>53</v>
      </c>
      <c r="I41" s="99">
        <f>I12-I40</f>
        <v>-632048.24435439124</v>
      </c>
      <c r="J41" s="99">
        <f>J12-J40</f>
        <v>-270557.35892049759</v>
      </c>
      <c r="K41" s="99">
        <f>K12-K40</f>
        <v>-3150868.7176623023</v>
      </c>
    </row>
    <row r="42" spans="2:12" x14ac:dyDescent="0.25">
      <c r="B42" s="5"/>
      <c r="C42" s="8"/>
      <c r="F42" s="91"/>
      <c r="H42" s="91"/>
      <c r="I42" s="88"/>
      <c r="J42" s="88"/>
      <c r="K42" s="88"/>
    </row>
    <row r="43" spans="2:12" x14ac:dyDescent="0.25">
      <c r="B43" s="5"/>
      <c r="C43" s="8" t="s">
        <v>51</v>
      </c>
      <c r="F43" s="91"/>
      <c r="H43" s="92">
        <f>H16</f>
        <v>52161000</v>
      </c>
      <c r="I43" s="92">
        <f>H43+I23-I27-I30-I12+I41</f>
        <v>65258051.75564561</v>
      </c>
      <c r="J43" s="92">
        <f>I43+J23-J27-J30-J12+J41</f>
        <v>85020494.396725103</v>
      </c>
      <c r="K43" s="92">
        <f>J43+K23-K27-K30-K12+K41</f>
        <v>104794025.6790628</v>
      </c>
    </row>
    <row r="44" spans="2:12" x14ac:dyDescent="0.25">
      <c r="C44" s="8"/>
      <c r="F44" s="88"/>
      <c r="H44" s="88"/>
      <c r="I44" s="97"/>
      <c r="J44" s="97"/>
      <c r="K44" s="97"/>
      <c r="L44" s="98"/>
    </row>
    <row r="45" spans="2:12" x14ac:dyDescent="0.25">
      <c r="B45" s="5"/>
      <c r="C45" s="8" t="s">
        <v>63</v>
      </c>
      <c r="F45" s="88"/>
      <c r="H45" s="93">
        <f>-H43/H14*100</f>
        <v>43.854147399572902</v>
      </c>
      <c r="I45" s="96">
        <f>-I43/I14*100</f>
        <v>52.541022636666781</v>
      </c>
      <c r="J45" s="96">
        <f>-J43/J14*100</f>
        <v>65.952862359864639</v>
      </c>
      <c r="K45" s="96">
        <f>-K43/K14*100</f>
        <v>78.342473071276871</v>
      </c>
    </row>
    <row r="46" spans="2:12" x14ac:dyDescent="0.25">
      <c r="C46" s="135" t="s">
        <v>62</v>
      </c>
      <c r="D46" s="9"/>
      <c r="E46" s="9"/>
      <c r="F46" s="9"/>
      <c r="H46" s="136" t="str">
        <f>IF(H45&lt;100,"gut", IF(H45&gt;150,"schlecht","genügend"))</f>
        <v>gut</v>
      </c>
      <c r="I46" s="136" t="str">
        <f t="shared" ref="I46:J46" si="5">IF(I45&lt;100,"gut", IF(I45&gt;150,"schlecht","genügend"))</f>
        <v>gut</v>
      </c>
      <c r="J46" s="136" t="str">
        <f t="shared" si="5"/>
        <v>gut</v>
      </c>
      <c r="K46" s="136" t="str">
        <f>IF(K45&lt;100,"gut", IF(K45&gt;150,"schlecht","genügend"))</f>
        <v>gut</v>
      </c>
    </row>
    <row r="48" spans="2:12" x14ac:dyDescent="0.25">
      <c r="C48" s="8" t="s">
        <v>77</v>
      </c>
      <c r="E48" s="5"/>
      <c r="F48" s="92">
        <f>-1.5*F14</f>
        <v>155375581.27499998</v>
      </c>
      <c r="G48" s="92">
        <f t="shared" ref="G48:K48" si="6">-1.5*G14</f>
        <v>161612250</v>
      </c>
      <c r="H48" s="92">
        <f t="shared" si="6"/>
        <v>178413000</v>
      </c>
      <c r="I48" s="92">
        <f t="shared" si="6"/>
        <v>186306000</v>
      </c>
      <c r="J48" s="92">
        <f t="shared" si="6"/>
        <v>193366500</v>
      </c>
      <c r="K48" s="92">
        <f t="shared" si="6"/>
        <v>200646000</v>
      </c>
    </row>
    <row r="49" spans="3:11" x14ac:dyDescent="0.25">
      <c r="C49" s="90" t="s">
        <v>52</v>
      </c>
      <c r="F49" s="99">
        <f t="shared" ref="F49:K49" si="7">F48-F16</f>
        <v>165749975.00499997</v>
      </c>
      <c r="G49" s="99">
        <f t="shared" si="7"/>
        <v>131630250</v>
      </c>
      <c r="H49" s="99">
        <f t="shared" si="7"/>
        <v>126252000</v>
      </c>
      <c r="I49" s="99">
        <f t="shared" si="7"/>
        <v>120417000</v>
      </c>
      <c r="J49" s="99">
        <f t="shared" si="7"/>
        <v>107444500</v>
      </c>
      <c r="K49" s="99">
        <f t="shared" si="7"/>
        <v>91799000</v>
      </c>
    </row>
  </sheetData>
  <pageMargins left="0.70866141732283472" right="0.70866141732283472" top="0.78740157480314965" bottom="0.78740157480314965" header="0.31496062992125984" footer="0.31496062992125984"/>
  <pageSetup paperSize="8" scale="76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8730F6E-0FE4-4027-82F8-C2E6B7B0A70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0"/>
              <x14:cfIcon iconSet="NoIcons" iconId="0"/>
              <x14:cfIcon iconSet="3Symbols" iconId="2"/>
            </x14:iconSet>
          </x14:cfRule>
          <xm:sqref>F49:K49 I41:K41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opLeftCell="D1" zoomScaleNormal="100" workbookViewId="0">
      <pane ySplit="5" topLeftCell="A12" activePane="bottomLeft" state="frozen"/>
      <selection activeCell="C32" sqref="C32"/>
      <selection pane="bottomLeft"/>
    </sheetView>
  </sheetViews>
  <sheetFormatPr baseColWidth="10" defaultRowHeight="15" x14ac:dyDescent="0.25"/>
  <cols>
    <col min="1" max="1" width="37.140625" customWidth="1"/>
    <col min="2" max="2" width="7.28515625" customWidth="1"/>
    <col min="3" max="3" width="26" bestFit="1" customWidth="1"/>
    <col min="5" max="5" width="23.85546875" customWidth="1"/>
    <col min="6" max="6" width="15.85546875" customWidth="1"/>
    <col min="7" max="11" width="18.5703125" customWidth="1"/>
    <col min="13" max="13" width="27" bestFit="1" customWidth="1"/>
  </cols>
  <sheetData>
    <row r="1" spans="1:18" ht="21" x14ac:dyDescent="0.35">
      <c r="A1" s="1" t="s">
        <v>4</v>
      </c>
      <c r="J1" s="22" t="s">
        <v>24</v>
      </c>
      <c r="K1" s="22" t="s">
        <v>9</v>
      </c>
    </row>
    <row r="4" spans="1:18" ht="15.75" x14ac:dyDescent="0.25">
      <c r="A4" s="11" t="s">
        <v>8</v>
      </c>
      <c r="B4" s="24"/>
      <c r="C4" s="35"/>
      <c r="D4" s="35"/>
      <c r="E4" s="35"/>
      <c r="F4" s="3">
        <v>2018</v>
      </c>
      <c r="G4" s="3">
        <v>2019</v>
      </c>
      <c r="H4" s="3">
        <v>2020</v>
      </c>
      <c r="I4" s="3">
        <v>2021</v>
      </c>
      <c r="J4" s="3">
        <v>2022</v>
      </c>
      <c r="K4" s="4">
        <v>2023</v>
      </c>
    </row>
    <row r="5" spans="1:18" x14ac:dyDescent="0.25">
      <c r="A5" s="40"/>
      <c r="B5" s="37"/>
      <c r="C5" s="37"/>
      <c r="D5" s="37"/>
      <c r="E5" s="37"/>
      <c r="F5" s="129" t="s">
        <v>0</v>
      </c>
      <c r="G5" s="129" t="s">
        <v>1</v>
      </c>
      <c r="H5" s="129" t="s">
        <v>1</v>
      </c>
      <c r="I5" s="129" t="s">
        <v>2</v>
      </c>
      <c r="J5" s="129" t="s">
        <v>2</v>
      </c>
      <c r="K5" s="130" t="s">
        <v>2</v>
      </c>
      <c r="M5" s="82" t="s">
        <v>44</v>
      </c>
    </row>
    <row r="6" spans="1:18" x14ac:dyDescent="0.25">
      <c r="A6" s="40"/>
      <c r="B6" s="37"/>
      <c r="C6" s="37"/>
      <c r="D6" s="37"/>
      <c r="E6" s="37"/>
      <c r="F6" s="37"/>
      <c r="G6" s="21"/>
      <c r="H6" s="37"/>
      <c r="I6" s="37"/>
      <c r="J6" s="37"/>
      <c r="K6" s="41"/>
    </row>
    <row r="7" spans="1:18" x14ac:dyDescent="0.25">
      <c r="A7" s="7" t="s">
        <v>27</v>
      </c>
      <c r="B7" s="42" t="s">
        <v>28</v>
      </c>
      <c r="C7" s="8"/>
      <c r="D7" s="8"/>
      <c r="E7" s="8"/>
      <c r="F7" s="46">
        <v>873645.21</v>
      </c>
      <c r="G7" s="47">
        <v>449600</v>
      </c>
      <c r="H7" s="46">
        <v>-2434900</v>
      </c>
      <c r="I7" s="48">
        <v>-1135350</v>
      </c>
      <c r="J7" s="48">
        <v>1107660</v>
      </c>
      <c r="K7" s="49">
        <v>1144960</v>
      </c>
      <c r="M7" s="45" t="s">
        <v>19</v>
      </c>
      <c r="N7" s="2"/>
      <c r="O7" s="2"/>
      <c r="P7" s="2"/>
      <c r="Q7" s="2"/>
      <c r="R7" s="2"/>
    </row>
    <row r="8" spans="1:18" x14ac:dyDescent="0.25">
      <c r="A8" s="40" t="s">
        <v>22</v>
      </c>
      <c r="B8" s="36">
        <v>383</v>
      </c>
      <c r="C8" s="36" t="s">
        <v>30</v>
      </c>
      <c r="D8" s="37"/>
      <c r="E8" s="37"/>
      <c r="F8" s="50">
        <v>2627044.65</v>
      </c>
      <c r="G8" s="51">
        <v>3200000</v>
      </c>
      <c r="H8" s="50">
        <v>3300000</v>
      </c>
      <c r="I8" s="52">
        <v>1600000</v>
      </c>
      <c r="J8" s="52">
        <v>1000000</v>
      </c>
      <c r="K8" s="53">
        <v>900000</v>
      </c>
      <c r="M8" s="30" t="s">
        <v>45</v>
      </c>
    </row>
    <row r="9" spans="1:18" x14ac:dyDescent="0.25">
      <c r="A9" s="40"/>
      <c r="B9" s="36">
        <v>387</v>
      </c>
      <c r="C9" s="36" t="s">
        <v>29</v>
      </c>
      <c r="D9" s="37"/>
      <c r="E9" s="37"/>
      <c r="F9" s="54">
        <v>0</v>
      </c>
      <c r="G9" s="54">
        <v>0</v>
      </c>
      <c r="H9" s="54">
        <v>0</v>
      </c>
      <c r="I9" s="55">
        <v>0</v>
      </c>
      <c r="J9" s="55">
        <v>0</v>
      </c>
      <c r="K9" s="56">
        <v>0</v>
      </c>
      <c r="M9" s="2"/>
    </row>
    <row r="10" spans="1:18" x14ac:dyDescent="0.25">
      <c r="A10" s="40"/>
      <c r="B10" s="36">
        <v>389</v>
      </c>
      <c r="C10" s="36" t="s">
        <v>25</v>
      </c>
      <c r="D10" s="37"/>
      <c r="E10" s="37"/>
      <c r="F10" s="50">
        <v>8802281.8499999996</v>
      </c>
      <c r="G10" s="51">
        <v>2805000</v>
      </c>
      <c r="H10" s="50">
        <v>3332000</v>
      </c>
      <c r="I10" s="52">
        <v>3331500</v>
      </c>
      <c r="J10" s="52">
        <v>3331500</v>
      </c>
      <c r="K10" s="53">
        <v>3331000</v>
      </c>
      <c r="M10" s="2"/>
    </row>
    <row r="11" spans="1:18" x14ac:dyDescent="0.25">
      <c r="A11" s="43" t="s">
        <v>23</v>
      </c>
      <c r="B11" s="44">
        <v>489</v>
      </c>
      <c r="C11" s="36" t="s">
        <v>26</v>
      </c>
      <c r="D11" s="39"/>
      <c r="E11" s="39"/>
      <c r="F11" s="50">
        <v>-6905895.75</v>
      </c>
      <c r="G11" s="51">
        <v>-6522400</v>
      </c>
      <c r="H11" s="50">
        <v>-6450000</v>
      </c>
      <c r="I11" s="52">
        <v>-6655000</v>
      </c>
      <c r="J11" s="52">
        <v>-8280000</v>
      </c>
      <c r="K11" s="53">
        <v>-6745000</v>
      </c>
      <c r="M11" s="2"/>
    </row>
    <row r="12" spans="1:18" x14ac:dyDescent="0.25">
      <c r="A12" s="7" t="s">
        <v>3</v>
      </c>
      <c r="B12" s="8"/>
      <c r="C12" s="36"/>
      <c r="D12" s="8"/>
      <c r="E12" s="8"/>
      <c r="F12" s="57">
        <f t="shared" ref="F12:K12" si="0">SUM(F7:F11)</f>
        <v>5397075.959999999</v>
      </c>
      <c r="G12" s="58">
        <f t="shared" si="0"/>
        <v>-67800</v>
      </c>
      <c r="H12" s="57">
        <f t="shared" si="0"/>
        <v>-2252900</v>
      </c>
      <c r="I12" s="57">
        <f t="shared" si="0"/>
        <v>-2858850</v>
      </c>
      <c r="J12" s="57">
        <f t="shared" si="0"/>
        <v>-2840840</v>
      </c>
      <c r="K12" s="59">
        <f t="shared" si="0"/>
        <v>-1369040</v>
      </c>
      <c r="M12" s="2"/>
    </row>
    <row r="13" spans="1:18" x14ac:dyDescent="0.25">
      <c r="A13" s="40"/>
      <c r="B13" s="37"/>
      <c r="C13" s="36"/>
      <c r="D13" s="37"/>
      <c r="E13" s="37"/>
      <c r="F13" s="60"/>
      <c r="G13" s="61"/>
      <c r="H13" s="60"/>
      <c r="I13" s="60"/>
      <c r="J13" s="60"/>
      <c r="K13" s="62"/>
    </row>
    <row r="14" spans="1:18" ht="17.25" x14ac:dyDescent="0.25">
      <c r="A14" s="12" t="s">
        <v>20</v>
      </c>
      <c r="B14" s="36">
        <v>40</v>
      </c>
      <c r="C14" s="36" t="s">
        <v>20</v>
      </c>
      <c r="D14" s="13"/>
      <c r="E14" s="8"/>
      <c r="F14" s="46">
        <v>-46078917.100000001</v>
      </c>
      <c r="G14" s="47">
        <v>-42687000</v>
      </c>
      <c r="H14" s="46">
        <v>-41993000</v>
      </c>
      <c r="I14" s="48">
        <v>-44780730</v>
      </c>
      <c r="J14" s="48">
        <v>-45625160</v>
      </c>
      <c r="K14" s="49">
        <v>-46182280</v>
      </c>
      <c r="L14" s="19"/>
    </row>
    <row r="15" spans="1:18" x14ac:dyDescent="0.25">
      <c r="A15" s="43"/>
      <c r="B15" s="39"/>
      <c r="C15" s="36"/>
      <c r="D15" s="39"/>
      <c r="E15" s="37"/>
      <c r="F15" s="60"/>
      <c r="G15" s="61"/>
      <c r="H15" s="60"/>
      <c r="I15" s="60"/>
      <c r="J15" s="60"/>
      <c r="K15" s="62"/>
    </row>
    <row r="16" spans="1:18" x14ac:dyDescent="0.25">
      <c r="A16" s="12" t="s">
        <v>54</v>
      </c>
      <c r="B16" s="13"/>
      <c r="C16" s="36"/>
      <c r="D16" s="13"/>
      <c r="E16" s="8"/>
      <c r="F16" s="63">
        <v>-17664095.649999999</v>
      </c>
      <c r="G16" s="64">
        <f>F16-G12-G24-G27+G21</f>
        <v>-10409895.649999999</v>
      </c>
      <c r="H16" s="64">
        <f t="shared" ref="H16:K16" si="1">G16-H12-H24-H27+H21</f>
        <v>-1068995.6499999985</v>
      </c>
      <c r="I16" s="64">
        <f t="shared" si="1"/>
        <v>8401544.3500000015</v>
      </c>
      <c r="J16" s="64">
        <f t="shared" si="1"/>
        <v>15667714.350000001</v>
      </c>
      <c r="K16" s="100">
        <f t="shared" si="1"/>
        <v>19244704.350000001</v>
      </c>
      <c r="M16" s="29" t="s">
        <v>21</v>
      </c>
    </row>
    <row r="17" spans="1:11" s="98" customFormat="1" x14ac:dyDescent="0.25">
      <c r="A17" s="12"/>
      <c r="B17" s="13"/>
      <c r="C17" s="44"/>
      <c r="D17" s="13"/>
      <c r="E17" s="13"/>
      <c r="F17" s="103"/>
      <c r="G17" s="104"/>
      <c r="H17" s="104"/>
      <c r="I17" s="104"/>
      <c r="J17" s="104"/>
      <c r="K17" s="114"/>
    </row>
    <row r="18" spans="1:11" x14ac:dyDescent="0.25">
      <c r="A18" s="12" t="s">
        <v>7</v>
      </c>
      <c r="B18" s="13"/>
      <c r="C18" s="36"/>
      <c r="D18" s="13"/>
      <c r="E18" s="8"/>
      <c r="F18" s="128">
        <f>-1/F14*F16</f>
        <v>-0.38334441783138168</v>
      </c>
      <c r="G18" s="128">
        <f>-1/G14*G16</f>
        <v>-0.24386571204347923</v>
      </c>
      <c r="H18" s="128">
        <f t="shared" ref="H18:K18" si="2">-1/H14*H16</f>
        <v>-2.5456520134308065E-2</v>
      </c>
      <c r="I18" s="128">
        <f>-1/I14*I16</f>
        <v>0.18761517174909834</v>
      </c>
      <c r="J18" s="128">
        <f t="shared" si="2"/>
        <v>0.34340075410146509</v>
      </c>
      <c r="K18" s="131">
        <f t="shared" si="2"/>
        <v>0.41671187195608367</v>
      </c>
    </row>
    <row r="19" spans="1:11" x14ac:dyDescent="0.25">
      <c r="A19" s="134" t="s">
        <v>62</v>
      </c>
      <c r="B19" s="14"/>
      <c r="C19" s="38"/>
      <c r="D19" s="14"/>
      <c r="E19" s="10"/>
      <c r="F19" s="65" t="str">
        <f>IF(F18&lt;100%,"gut", IF(F18&gt;150%,"schlecht","genügend"))</f>
        <v>gut</v>
      </c>
      <c r="G19" s="65" t="str">
        <f t="shared" ref="G19:K19" si="3">IF(G18&lt;100%,"gut", IF(G18&gt;150%,"schlecht","genügend"))</f>
        <v>gut</v>
      </c>
      <c r="H19" s="65" t="str">
        <f t="shared" si="3"/>
        <v>gut</v>
      </c>
      <c r="I19" s="65" t="str">
        <f t="shared" si="3"/>
        <v>gut</v>
      </c>
      <c r="J19" s="65" t="str">
        <f t="shared" si="3"/>
        <v>gut</v>
      </c>
      <c r="K19" s="66" t="str">
        <f t="shared" si="3"/>
        <v>gut</v>
      </c>
    </row>
    <row r="20" spans="1:11" x14ac:dyDescent="0.25">
      <c r="F20" s="67"/>
      <c r="G20" s="68"/>
      <c r="H20" s="67"/>
      <c r="I20" s="67"/>
      <c r="J20" s="67"/>
      <c r="K20" s="67"/>
    </row>
    <row r="21" spans="1:11" x14ac:dyDescent="0.25">
      <c r="A21" s="32" t="s">
        <v>5</v>
      </c>
      <c r="B21" s="27"/>
      <c r="C21" s="28"/>
      <c r="D21" s="28"/>
      <c r="E21" s="28"/>
      <c r="F21" s="69">
        <v>2610355.3199999998</v>
      </c>
      <c r="G21" s="70">
        <v>10183000</v>
      </c>
      <c r="H21" s="69">
        <v>9542200</v>
      </c>
      <c r="I21" s="71">
        <v>8816400</v>
      </c>
      <c r="J21" s="71">
        <v>6409200</v>
      </c>
      <c r="K21" s="72">
        <v>4080500</v>
      </c>
    </row>
    <row r="22" spans="1:11" x14ac:dyDescent="0.25">
      <c r="A22" s="33" t="s">
        <v>6</v>
      </c>
      <c r="B22" s="27">
        <v>33</v>
      </c>
      <c r="C22" s="28" t="s">
        <v>31</v>
      </c>
      <c r="D22" s="28"/>
      <c r="E22" s="28"/>
      <c r="F22" s="69">
        <v>3529478.16</v>
      </c>
      <c r="G22" s="70">
        <v>3708800</v>
      </c>
      <c r="H22" s="69">
        <v>2941000</v>
      </c>
      <c r="I22" s="71">
        <v>2369700</v>
      </c>
      <c r="J22" s="71">
        <v>2169000</v>
      </c>
      <c r="K22" s="72">
        <v>2082590</v>
      </c>
    </row>
    <row r="23" spans="1:11" x14ac:dyDescent="0.25">
      <c r="A23" s="34"/>
      <c r="B23" s="25">
        <v>366</v>
      </c>
      <c r="C23" s="18" t="s">
        <v>32</v>
      </c>
      <c r="D23" s="18"/>
      <c r="E23" s="18"/>
      <c r="F23" s="73">
        <v>73840</v>
      </c>
      <c r="G23" s="74">
        <v>55300</v>
      </c>
      <c r="H23" s="73">
        <v>41100</v>
      </c>
      <c r="I23" s="75">
        <v>30900</v>
      </c>
      <c r="J23" s="75">
        <v>23100</v>
      </c>
      <c r="K23" s="76">
        <v>17400</v>
      </c>
    </row>
    <row r="24" spans="1:11" x14ac:dyDescent="0.25">
      <c r="A24" s="16"/>
      <c r="B24" s="26" t="s">
        <v>10</v>
      </c>
      <c r="C24" s="23"/>
      <c r="D24" s="23"/>
      <c r="E24" s="23"/>
      <c r="F24" s="77">
        <f>F22+F23</f>
        <v>3603318.16</v>
      </c>
      <c r="G24" s="78">
        <f t="shared" ref="G24:K24" si="4">G22+G23</f>
        <v>3764100</v>
      </c>
      <c r="H24" s="77">
        <f t="shared" si="4"/>
        <v>2982100</v>
      </c>
      <c r="I24" s="77">
        <f>I22+I23</f>
        <v>2400600</v>
      </c>
      <c r="J24" s="77">
        <f t="shared" si="4"/>
        <v>2192100</v>
      </c>
      <c r="K24" s="79">
        <f t="shared" si="4"/>
        <v>2099990</v>
      </c>
    </row>
    <row r="25" spans="1:11" x14ac:dyDescent="0.25">
      <c r="A25" s="33" t="s">
        <v>18</v>
      </c>
      <c r="B25" s="25">
        <v>35</v>
      </c>
      <c r="C25" s="31" t="s">
        <v>33</v>
      </c>
      <c r="D25" s="18"/>
      <c r="E25" s="18"/>
      <c r="F25" s="73">
        <v>997215</v>
      </c>
      <c r="G25" s="74">
        <v>0</v>
      </c>
      <c r="H25" s="73">
        <v>65700</v>
      </c>
      <c r="I25" s="75">
        <v>214870</v>
      </c>
      <c r="J25" s="75">
        <v>210500</v>
      </c>
      <c r="K25" s="76">
        <v>198390</v>
      </c>
    </row>
    <row r="26" spans="1:11" x14ac:dyDescent="0.25">
      <c r="A26" s="15"/>
      <c r="B26" s="25">
        <v>45</v>
      </c>
      <c r="C26" s="31" t="s">
        <v>34</v>
      </c>
      <c r="D26" s="18"/>
      <c r="E26" s="18"/>
      <c r="F26" s="73">
        <v>-203946.48</v>
      </c>
      <c r="G26" s="74">
        <v>-767500</v>
      </c>
      <c r="H26" s="73">
        <v>-593600</v>
      </c>
      <c r="I26" s="75">
        <v>-410760</v>
      </c>
      <c r="J26" s="75">
        <v>-418730</v>
      </c>
      <c r="K26" s="76">
        <v>-425830</v>
      </c>
    </row>
    <row r="27" spans="1:11" x14ac:dyDescent="0.25">
      <c r="A27" s="16"/>
      <c r="B27" s="26" t="s">
        <v>11</v>
      </c>
      <c r="C27" s="23"/>
      <c r="D27" s="23"/>
      <c r="E27" s="23"/>
      <c r="F27" s="77">
        <f>F25+F26</f>
        <v>793268.52</v>
      </c>
      <c r="G27" s="78">
        <f t="shared" ref="G27:K27" si="5">G25+G26</f>
        <v>-767500</v>
      </c>
      <c r="H27" s="77">
        <f t="shared" si="5"/>
        <v>-527900</v>
      </c>
      <c r="I27" s="77">
        <f t="shared" si="5"/>
        <v>-195890</v>
      </c>
      <c r="J27" s="77">
        <f t="shared" si="5"/>
        <v>-208230</v>
      </c>
      <c r="K27" s="79">
        <f t="shared" si="5"/>
        <v>-227440</v>
      </c>
    </row>
    <row r="28" spans="1:11" x14ac:dyDescent="0.25">
      <c r="A28" s="18"/>
      <c r="B28" s="5"/>
      <c r="C28" s="5"/>
      <c r="D28" s="5"/>
      <c r="E28" s="5"/>
      <c r="F28" s="17"/>
      <c r="G28" s="17"/>
      <c r="H28" s="17"/>
      <c r="I28" s="17"/>
      <c r="J28" s="17"/>
      <c r="K28" s="17"/>
    </row>
    <row r="32" spans="1:11" x14ac:dyDescent="0.25">
      <c r="F32" s="88"/>
      <c r="H32" s="88"/>
      <c r="I32" s="94"/>
      <c r="J32" s="95" t="s">
        <v>49</v>
      </c>
      <c r="K32" s="94"/>
    </row>
    <row r="33" spans="2:12" x14ac:dyDescent="0.25">
      <c r="F33" s="88"/>
      <c r="H33" s="88"/>
      <c r="I33" s="88"/>
      <c r="J33" s="88"/>
      <c r="K33" s="88"/>
    </row>
    <row r="34" spans="2:12" x14ac:dyDescent="0.25">
      <c r="B34" s="5"/>
      <c r="C34" s="8" t="s">
        <v>57</v>
      </c>
      <c r="F34" s="89"/>
      <c r="H34" s="89"/>
      <c r="I34" s="96">
        <f>IF(H42&gt;0,Grundeinstellungen!$Y$17*H42+Grundeinstellungen!$AC$17,10)</f>
        <v>10</v>
      </c>
      <c r="J34" s="96">
        <f>IF(I42&gt;0,Grundeinstellungen!$Y$17*I42+Grundeinstellungen!$AC$17,10)</f>
        <v>7.9114417756625812</v>
      </c>
      <c r="K34" s="96">
        <f>IF(J42&gt;0,Grundeinstellungen!$Y$17*J42+Grundeinstellungen!$AC$17,10)</f>
        <v>6.3064257461111293</v>
      </c>
    </row>
    <row r="35" spans="2:12" x14ac:dyDescent="0.25">
      <c r="B35" s="5"/>
      <c r="C35" s="90" t="s">
        <v>50</v>
      </c>
      <c r="F35" s="89"/>
      <c r="H35" s="89"/>
      <c r="I35" s="88"/>
      <c r="J35" s="88"/>
      <c r="K35" s="88"/>
    </row>
    <row r="36" spans="2:12" x14ac:dyDescent="0.25">
      <c r="B36" s="5"/>
      <c r="F36" s="88"/>
      <c r="H36" s="88"/>
      <c r="I36" s="88"/>
      <c r="J36" s="88"/>
      <c r="K36" s="88"/>
    </row>
    <row r="37" spans="2:12" x14ac:dyDescent="0.25">
      <c r="B37" s="5"/>
      <c r="C37" s="8" t="s">
        <v>58</v>
      </c>
      <c r="F37" s="91"/>
      <c r="H37" s="91"/>
      <c r="I37" s="92">
        <f>I34*I14/100</f>
        <v>-4478073</v>
      </c>
      <c r="J37" s="92">
        <f>J34*J14/100</f>
        <v>-3609607.9684528937</v>
      </c>
      <c r="K37" s="92">
        <f t="shared" ref="K37" si="6">K34*K14/100</f>
        <v>-2912451.1960611306</v>
      </c>
    </row>
    <row r="38" spans="2:12" x14ac:dyDescent="0.25">
      <c r="C38" s="90" t="s">
        <v>53</v>
      </c>
      <c r="I38" s="99">
        <f>I12-I37</f>
        <v>1619223</v>
      </c>
      <c r="J38" s="99">
        <f t="shared" ref="J38:K38" si="7">J12-J37</f>
        <v>768767.96845289366</v>
      </c>
      <c r="K38" s="99">
        <f t="shared" si="7"/>
        <v>1543411.1960611306</v>
      </c>
    </row>
    <row r="39" spans="2:12" x14ac:dyDescent="0.25">
      <c r="B39" s="5"/>
      <c r="C39" s="8"/>
      <c r="F39" s="91"/>
      <c r="H39" s="91"/>
      <c r="I39" s="88"/>
      <c r="J39" s="88"/>
      <c r="K39" s="88"/>
    </row>
    <row r="40" spans="2:12" x14ac:dyDescent="0.25">
      <c r="B40" s="5"/>
      <c r="C40" s="8" t="s">
        <v>51</v>
      </c>
      <c r="F40" s="91"/>
      <c r="H40" s="92">
        <f>H16</f>
        <v>-1068995.6499999985</v>
      </c>
      <c r="I40" s="92">
        <f>H40+I21-I24-I27-I12+I38</f>
        <v>10020767.350000001</v>
      </c>
      <c r="J40" s="92">
        <f t="shared" ref="J40:K40" si="8">I40+J21-J24-J27-J12+J38</f>
        <v>18055705.318452895</v>
      </c>
      <c r="K40" s="92">
        <f t="shared" si="8"/>
        <v>23176106.514514025</v>
      </c>
    </row>
    <row r="41" spans="2:12" x14ac:dyDescent="0.25">
      <c r="C41" s="8"/>
      <c r="F41" s="88"/>
      <c r="H41" s="88"/>
      <c r="I41" s="97"/>
      <c r="J41" s="97"/>
      <c r="K41" s="97"/>
      <c r="L41" s="98"/>
    </row>
    <row r="42" spans="2:12" x14ac:dyDescent="0.25">
      <c r="B42" s="5"/>
      <c r="C42" s="8" t="s">
        <v>63</v>
      </c>
      <c r="F42" s="88"/>
      <c r="H42" s="93">
        <f>-H40/H14*100</f>
        <v>-2.5456520134308063</v>
      </c>
      <c r="I42" s="96">
        <f>-I40/I14*100</f>
        <v>22.377409546472336</v>
      </c>
      <c r="J42" s="96">
        <f t="shared" ref="J42:K42" si="9">-J40/J14*100</f>
        <v>39.574009863095043</v>
      </c>
      <c r="K42" s="96">
        <f t="shared" si="9"/>
        <v>50.183980770360456</v>
      </c>
    </row>
    <row r="43" spans="2:12" x14ac:dyDescent="0.25">
      <c r="C43" s="135" t="s">
        <v>62</v>
      </c>
      <c r="D43" s="9"/>
      <c r="E43" s="9"/>
      <c r="F43" s="9"/>
      <c r="H43" s="136" t="str">
        <f>IF(H42&lt;100,"gut", IF(H42&gt;150,"schlecht","genügend"))</f>
        <v>gut</v>
      </c>
      <c r="I43" s="136" t="str">
        <f t="shared" ref="I43:J43" si="10">IF(I42&lt;100,"gut", IF(I42&gt;150,"schlecht","genügend"))</f>
        <v>gut</v>
      </c>
      <c r="J43" s="136" t="str">
        <f t="shared" si="10"/>
        <v>gut</v>
      </c>
      <c r="K43" s="136" t="str">
        <f>IF(K42&lt;100,"gut", IF(K42&gt;150,"schlecht","genügend"))</f>
        <v>gut</v>
      </c>
    </row>
    <row r="45" spans="2:12" x14ac:dyDescent="0.25">
      <c r="C45" s="8" t="s">
        <v>77</v>
      </c>
      <c r="E45" s="5"/>
      <c r="F45" s="92">
        <f>-1.5*F14</f>
        <v>69118375.650000006</v>
      </c>
      <c r="G45" s="92">
        <f t="shared" ref="G45:K45" si="11">-1.5*G14</f>
        <v>64030500</v>
      </c>
      <c r="H45" s="92">
        <f t="shared" si="11"/>
        <v>62989500</v>
      </c>
      <c r="I45" s="92">
        <f t="shared" si="11"/>
        <v>67171095</v>
      </c>
      <c r="J45" s="92">
        <f t="shared" si="11"/>
        <v>68437740</v>
      </c>
      <c r="K45" s="92">
        <f t="shared" si="11"/>
        <v>69273420</v>
      </c>
    </row>
    <row r="46" spans="2:12" x14ac:dyDescent="0.25">
      <c r="C46" s="90" t="s">
        <v>52</v>
      </c>
      <c r="F46" s="99">
        <f t="shared" ref="F46:K46" si="12">F45-F16</f>
        <v>86782471.300000012</v>
      </c>
      <c r="G46" s="99">
        <f t="shared" si="12"/>
        <v>74440395.650000006</v>
      </c>
      <c r="H46" s="99">
        <f>H45-H16</f>
        <v>64058495.649999999</v>
      </c>
      <c r="I46" s="99">
        <f>I45-I16</f>
        <v>58769550.649999999</v>
      </c>
      <c r="J46" s="99">
        <f t="shared" si="12"/>
        <v>52770025.649999999</v>
      </c>
      <c r="K46" s="99">
        <f t="shared" si="12"/>
        <v>50028715.649999999</v>
      </c>
    </row>
  </sheetData>
  <pageMargins left="0.70866141732283472" right="0.70866141732283472" top="0.78740157480314965" bottom="0.78740157480314965" header="0.31496062992125984" footer="0.31496062992125984"/>
  <pageSetup paperSize="8" scale="76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D2A0B7C-CBD4-47EC-B782-63F2556F7DB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0"/>
              <x14:cfIcon iconSet="NoIcons" iconId="0"/>
              <x14:cfIcon iconSet="3Symbols" iconId="2"/>
            </x14:iconSet>
          </x14:cfRule>
          <xm:sqref>F46:K46 I38:K38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opLeftCell="E1" zoomScaleNormal="100" workbookViewId="0">
      <pane ySplit="5" topLeftCell="A19" activePane="bottomLeft" state="frozen"/>
      <selection activeCell="C35" sqref="C35"/>
      <selection pane="bottomLeft" activeCell="G16" sqref="G16"/>
    </sheetView>
  </sheetViews>
  <sheetFormatPr baseColWidth="10" defaultRowHeight="15" x14ac:dyDescent="0.25"/>
  <cols>
    <col min="1" max="1" width="37.140625" customWidth="1"/>
    <col min="2" max="2" width="7.28515625" customWidth="1"/>
    <col min="3" max="3" width="26" bestFit="1" customWidth="1"/>
    <col min="5" max="5" width="23.85546875" customWidth="1"/>
    <col min="6" max="6" width="15.85546875" customWidth="1"/>
    <col min="7" max="11" width="18.5703125" customWidth="1"/>
    <col min="13" max="13" width="27" bestFit="1" customWidth="1"/>
  </cols>
  <sheetData>
    <row r="1" spans="1:18" ht="21" x14ac:dyDescent="0.35">
      <c r="A1" s="1" t="s">
        <v>4</v>
      </c>
      <c r="J1" s="22" t="s">
        <v>24</v>
      </c>
      <c r="K1" s="22" t="s">
        <v>14</v>
      </c>
    </row>
    <row r="4" spans="1:18" ht="15.75" x14ac:dyDescent="0.25">
      <c r="A4" s="11" t="s">
        <v>8</v>
      </c>
      <c r="B4" s="24"/>
      <c r="C4" s="35"/>
      <c r="D4" s="35"/>
      <c r="E4" s="35"/>
      <c r="F4" s="3">
        <v>2018</v>
      </c>
      <c r="G4" s="3">
        <v>2019</v>
      </c>
      <c r="H4" s="3">
        <v>2020</v>
      </c>
      <c r="I4" s="3">
        <v>2021</v>
      </c>
      <c r="J4" s="3">
        <v>2022</v>
      </c>
      <c r="K4" s="4">
        <v>2023</v>
      </c>
    </row>
    <row r="5" spans="1:18" x14ac:dyDescent="0.25">
      <c r="A5" s="40"/>
      <c r="B5" s="37"/>
      <c r="C5" s="37"/>
      <c r="D5" s="37"/>
      <c r="E5" s="37"/>
      <c r="F5" s="129" t="s">
        <v>0</v>
      </c>
      <c r="G5" s="129" t="s">
        <v>1</v>
      </c>
      <c r="H5" s="129" t="s">
        <v>1</v>
      </c>
      <c r="I5" s="129" t="s">
        <v>2</v>
      </c>
      <c r="J5" s="129" t="s">
        <v>2</v>
      </c>
      <c r="K5" s="130" t="s">
        <v>2</v>
      </c>
      <c r="M5" s="82" t="s">
        <v>44</v>
      </c>
    </row>
    <row r="6" spans="1:18" x14ac:dyDescent="0.25">
      <c r="A6" s="40"/>
      <c r="B6" s="37"/>
      <c r="C6" s="37"/>
      <c r="D6" s="37"/>
      <c r="E6" s="37"/>
      <c r="F6" s="37"/>
      <c r="G6" s="21"/>
      <c r="H6" s="37"/>
      <c r="I6" s="37"/>
      <c r="J6" s="37"/>
      <c r="K6" s="41"/>
    </row>
    <row r="7" spans="1:18" x14ac:dyDescent="0.25">
      <c r="A7" s="7" t="s">
        <v>27</v>
      </c>
      <c r="B7" s="42" t="s">
        <v>28</v>
      </c>
      <c r="C7" s="8"/>
      <c r="D7" s="8"/>
      <c r="E7" s="8"/>
      <c r="F7" s="46">
        <v>916098.21</v>
      </c>
      <c r="G7" s="47">
        <v>393100</v>
      </c>
      <c r="H7" s="46">
        <v>583500</v>
      </c>
      <c r="I7" s="48">
        <v>447000</v>
      </c>
      <c r="J7" s="48">
        <v>4000</v>
      </c>
      <c r="K7" s="49">
        <v>291000</v>
      </c>
      <c r="M7" s="45" t="s">
        <v>35</v>
      </c>
      <c r="N7" s="2"/>
      <c r="O7" s="2"/>
      <c r="P7" s="2"/>
      <c r="Q7" s="2"/>
      <c r="R7" s="2"/>
    </row>
    <row r="8" spans="1:18" x14ac:dyDescent="0.25">
      <c r="A8" s="40" t="s">
        <v>22</v>
      </c>
      <c r="B8" s="36">
        <v>383</v>
      </c>
      <c r="C8" s="36" t="s">
        <v>30</v>
      </c>
      <c r="D8" s="37"/>
      <c r="E8" s="37"/>
      <c r="F8" s="50">
        <v>2602399.65</v>
      </c>
      <c r="G8" s="54">
        <v>0</v>
      </c>
      <c r="H8" s="54">
        <v>0</v>
      </c>
      <c r="I8" s="55">
        <v>0</v>
      </c>
      <c r="J8" s="55">
        <v>0</v>
      </c>
      <c r="K8" s="56">
        <v>0</v>
      </c>
      <c r="M8" s="30" t="s">
        <v>36</v>
      </c>
    </row>
    <row r="9" spans="1:18" x14ac:dyDescent="0.25">
      <c r="A9" s="40"/>
      <c r="B9" s="36">
        <v>387</v>
      </c>
      <c r="C9" s="36" t="s">
        <v>29</v>
      </c>
      <c r="D9" s="37"/>
      <c r="E9" s="37"/>
      <c r="F9" s="54">
        <v>0</v>
      </c>
      <c r="G9" s="54">
        <v>0</v>
      </c>
      <c r="H9" s="54">
        <v>0</v>
      </c>
      <c r="I9" s="55">
        <v>0</v>
      </c>
      <c r="J9" s="55">
        <v>0</v>
      </c>
      <c r="K9" s="56">
        <v>0</v>
      </c>
      <c r="M9" s="2"/>
    </row>
    <row r="10" spans="1:18" x14ac:dyDescent="0.25">
      <c r="A10" s="40"/>
      <c r="B10" s="36">
        <v>389</v>
      </c>
      <c r="C10" s="36" t="s">
        <v>25</v>
      </c>
      <c r="D10" s="37"/>
      <c r="E10" s="37"/>
      <c r="F10" s="54">
        <v>0</v>
      </c>
      <c r="G10" s="51">
        <v>1800000</v>
      </c>
      <c r="H10" s="50">
        <v>1000000</v>
      </c>
      <c r="I10" s="55">
        <v>0</v>
      </c>
      <c r="J10" s="55">
        <v>0</v>
      </c>
      <c r="K10" s="56">
        <v>0</v>
      </c>
      <c r="M10" s="2"/>
    </row>
    <row r="11" spans="1:18" x14ac:dyDescent="0.25">
      <c r="A11" s="43" t="s">
        <v>23</v>
      </c>
      <c r="B11" s="44">
        <v>489</v>
      </c>
      <c r="C11" s="36" t="s">
        <v>26</v>
      </c>
      <c r="D11" s="39"/>
      <c r="E11" s="39"/>
      <c r="F11" s="54">
        <v>0</v>
      </c>
      <c r="G11" s="54">
        <v>0</v>
      </c>
      <c r="H11" s="54">
        <v>0</v>
      </c>
      <c r="I11" s="55">
        <v>0</v>
      </c>
      <c r="J11" s="55">
        <v>0</v>
      </c>
      <c r="K11" s="56">
        <v>0</v>
      </c>
      <c r="M11" s="2"/>
    </row>
    <row r="12" spans="1:18" x14ac:dyDescent="0.25">
      <c r="A12" s="7" t="s">
        <v>3</v>
      </c>
      <c r="B12" s="8"/>
      <c r="C12" s="36"/>
      <c r="D12" s="8"/>
      <c r="E12" s="8"/>
      <c r="F12" s="57">
        <f t="shared" ref="F12:K12" si="0">SUM(F7:F11)</f>
        <v>3518497.86</v>
      </c>
      <c r="G12" s="58">
        <f t="shared" si="0"/>
        <v>2193100</v>
      </c>
      <c r="H12" s="57">
        <f t="shared" si="0"/>
        <v>1583500</v>
      </c>
      <c r="I12" s="57">
        <v>100000</v>
      </c>
      <c r="J12" s="57">
        <v>4000000</v>
      </c>
      <c r="K12" s="59">
        <f t="shared" si="0"/>
        <v>291000</v>
      </c>
      <c r="M12" s="2"/>
    </row>
    <row r="13" spans="1:18" x14ac:dyDescent="0.25">
      <c r="A13" s="40"/>
      <c r="B13" s="37"/>
      <c r="C13" s="36"/>
      <c r="D13" s="37"/>
      <c r="E13" s="37"/>
      <c r="F13" s="60"/>
      <c r="G13" s="61"/>
      <c r="H13" s="60"/>
      <c r="I13" s="60"/>
      <c r="J13" s="60"/>
      <c r="K13" s="62"/>
    </row>
    <row r="14" spans="1:18" ht="17.25" x14ac:dyDescent="0.25">
      <c r="A14" s="12" t="s">
        <v>20</v>
      </c>
      <c r="B14" s="36">
        <v>40</v>
      </c>
      <c r="C14" s="36" t="s">
        <v>20</v>
      </c>
      <c r="D14" s="13"/>
      <c r="E14" s="8"/>
      <c r="F14" s="46">
        <v>-15189464.1</v>
      </c>
      <c r="G14" s="47">
        <v>-15047000</v>
      </c>
      <c r="H14" s="46">
        <v>-15187000</v>
      </c>
      <c r="I14" s="48">
        <v>-15240000</v>
      </c>
      <c r="J14" s="48">
        <v>-15225000</v>
      </c>
      <c r="K14" s="49">
        <f>-15195000</f>
        <v>-15195000</v>
      </c>
      <c r="L14" s="19"/>
    </row>
    <row r="15" spans="1:18" x14ac:dyDescent="0.25">
      <c r="A15" s="43"/>
      <c r="B15" s="39"/>
      <c r="C15" s="36"/>
      <c r="D15" s="39"/>
      <c r="E15" s="37"/>
      <c r="F15" s="60"/>
      <c r="G15" s="61"/>
      <c r="H15" s="60"/>
      <c r="I15" s="60"/>
      <c r="J15" s="60"/>
      <c r="K15" s="62"/>
    </row>
    <row r="16" spans="1:18" x14ac:dyDescent="0.25">
      <c r="A16" s="12" t="s">
        <v>54</v>
      </c>
      <c r="B16" s="13"/>
      <c r="C16" s="36"/>
      <c r="D16" s="13"/>
      <c r="E16" s="8"/>
      <c r="F16" s="63">
        <v>-7112829.4100000001</v>
      </c>
      <c r="G16" s="64">
        <f>F16-G12-G24-G27+G21</f>
        <v>-3933229.41</v>
      </c>
      <c r="H16" s="64">
        <f t="shared" ref="H16:K16" si="1">G16-H12-H24-H27+H21</f>
        <v>-2789929.41</v>
      </c>
      <c r="I16" s="64">
        <f t="shared" si="1"/>
        <v>-404929.41000000015</v>
      </c>
      <c r="J16" s="64">
        <f t="shared" si="1"/>
        <v>-1985929.4100000001</v>
      </c>
      <c r="K16" s="100">
        <f t="shared" si="1"/>
        <v>-3669929.41</v>
      </c>
      <c r="M16" s="29" t="s">
        <v>21</v>
      </c>
    </row>
    <row r="17" spans="1:11" s="98" customFormat="1" x14ac:dyDescent="0.25">
      <c r="A17" s="12"/>
      <c r="B17" s="13"/>
      <c r="C17" s="44"/>
      <c r="D17" s="13"/>
      <c r="E17" s="13"/>
      <c r="F17" s="103"/>
      <c r="G17" s="104"/>
      <c r="H17" s="104"/>
      <c r="I17" s="104"/>
      <c r="J17" s="104"/>
      <c r="K17" s="114"/>
    </row>
    <row r="18" spans="1:11" x14ac:dyDescent="0.25">
      <c r="A18" s="12" t="s">
        <v>7</v>
      </c>
      <c r="B18" s="13"/>
      <c r="C18" s="36"/>
      <c r="D18" s="13"/>
      <c r="E18" s="8"/>
      <c r="F18" s="128">
        <f>-1/F14*F16</f>
        <v>-0.46827388795105684</v>
      </c>
      <c r="G18" s="128">
        <f t="shared" ref="G18:K18" si="2">-1/G14*G16</f>
        <v>-0.26139625240911807</v>
      </c>
      <c r="H18" s="128">
        <f t="shared" si="2"/>
        <v>-0.18370510370711793</v>
      </c>
      <c r="I18" s="128">
        <f t="shared" si="2"/>
        <v>-2.6570171259842533E-2</v>
      </c>
      <c r="J18" s="128">
        <f t="shared" si="2"/>
        <v>-0.13043871330049261</v>
      </c>
      <c r="K18" s="131">
        <f t="shared" si="2"/>
        <v>-0.24152217242513987</v>
      </c>
    </row>
    <row r="19" spans="1:11" x14ac:dyDescent="0.25">
      <c r="A19" s="134" t="s">
        <v>62</v>
      </c>
      <c r="B19" s="14"/>
      <c r="C19" s="38"/>
      <c r="D19" s="14"/>
      <c r="E19" s="10"/>
      <c r="F19" s="65" t="str">
        <f>IF(F18&lt;100%,"gut", IF(F18&gt;150%,"schlecht","genügend"))</f>
        <v>gut</v>
      </c>
      <c r="G19" s="65" t="str">
        <f t="shared" ref="G19:K19" si="3">IF(G18&lt;100%,"gut", IF(G18&gt;150%,"schlecht","genügend"))</f>
        <v>gut</v>
      </c>
      <c r="H19" s="65" t="str">
        <f t="shared" si="3"/>
        <v>gut</v>
      </c>
      <c r="I19" s="65" t="str">
        <f t="shared" si="3"/>
        <v>gut</v>
      </c>
      <c r="J19" s="65" t="str">
        <f t="shared" si="3"/>
        <v>gut</v>
      </c>
      <c r="K19" s="66" t="str">
        <f t="shared" si="3"/>
        <v>gut</v>
      </c>
    </row>
    <row r="20" spans="1:11" x14ac:dyDescent="0.25">
      <c r="F20" s="67"/>
      <c r="G20" s="68"/>
      <c r="H20" s="67"/>
      <c r="I20" s="67"/>
      <c r="J20" s="67"/>
      <c r="K20" s="67"/>
    </row>
    <row r="21" spans="1:11" x14ac:dyDescent="0.25">
      <c r="A21" s="32" t="s">
        <v>5</v>
      </c>
      <c r="B21" s="27"/>
      <c r="C21" s="28"/>
      <c r="D21" s="28"/>
      <c r="E21" s="28"/>
      <c r="F21" s="69">
        <v>-176092.07</v>
      </c>
      <c r="G21" s="70">
        <v>6078500</v>
      </c>
      <c r="H21" s="69">
        <v>2853500</v>
      </c>
      <c r="I21" s="71">
        <v>3651000</v>
      </c>
      <c r="J21" s="71">
        <v>3861000</v>
      </c>
      <c r="K21" s="72">
        <v>372000</v>
      </c>
    </row>
    <row r="22" spans="1:11" x14ac:dyDescent="0.25">
      <c r="A22" s="33" t="s">
        <v>6</v>
      </c>
      <c r="B22" s="27">
        <v>33</v>
      </c>
      <c r="C22" s="28" t="s">
        <v>31</v>
      </c>
      <c r="D22" s="28"/>
      <c r="E22" s="28"/>
      <c r="F22" s="69">
        <v>648607.26</v>
      </c>
      <c r="G22" s="70">
        <v>766300</v>
      </c>
      <c r="H22" s="69">
        <v>501200</v>
      </c>
      <c r="I22" s="71">
        <v>1150000</v>
      </c>
      <c r="J22" s="71">
        <v>1426000</v>
      </c>
      <c r="K22" s="72">
        <v>1749000</v>
      </c>
    </row>
    <row r="23" spans="1:11" x14ac:dyDescent="0.25">
      <c r="A23" s="34"/>
      <c r="B23" s="25">
        <v>366</v>
      </c>
      <c r="C23" s="18" t="s">
        <v>32</v>
      </c>
      <c r="D23" s="18"/>
      <c r="E23" s="18"/>
      <c r="F23" s="73">
        <v>0</v>
      </c>
      <c r="G23" s="74">
        <v>0</v>
      </c>
      <c r="H23" s="73">
        <v>0</v>
      </c>
      <c r="I23" s="75">
        <v>0</v>
      </c>
      <c r="J23" s="75">
        <v>0</v>
      </c>
      <c r="K23" s="76">
        <v>0</v>
      </c>
    </row>
    <row r="24" spans="1:11" x14ac:dyDescent="0.25">
      <c r="A24" s="16"/>
      <c r="B24" s="26" t="s">
        <v>10</v>
      </c>
      <c r="C24" s="23"/>
      <c r="D24" s="23"/>
      <c r="E24" s="23"/>
      <c r="F24" s="77">
        <f>F22+F23</f>
        <v>648607.26</v>
      </c>
      <c r="G24" s="78">
        <f t="shared" ref="G24:K24" si="4">G22+G23</f>
        <v>766300</v>
      </c>
      <c r="H24" s="77">
        <f t="shared" si="4"/>
        <v>501200</v>
      </c>
      <c r="I24" s="77">
        <f>I22+I23</f>
        <v>1150000</v>
      </c>
      <c r="J24" s="77">
        <f t="shared" si="4"/>
        <v>1426000</v>
      </c>
      <c r="K24" s="79">
        <f t="shared" si="4"/>
        <v>1749000</v>
      </c>
    </row>
    <row r="25" spans="1:11" x14ac:dyDescent="0.25">
      <c r="A25" s="33" t="s">
        <v>18</v>
      </c>
      <c r="B25" s="25">
        <v>35</v>
      </c>
      <c r="C25" s="31" t="s">
        <v>33</v>
      </c>
      <c r="D25" s="18"/>
      <c r="E25" s="18"/>
      <c r="F25" s="73">
        <v>117659.67</v>
      </c>
      <c r="G25" s="74">
        <v>30900</v>
      </c>
      <c r="H25" s="73">
        <v>65900</v>
      </c>
      <c r="I25" s="75">
        <v>20000</v>
      </c>
      <c r="J25" s="75">
        <v>20000</v>
      </c>
      <c r="K25" s="76">
        <v>20000</v>
      </c>
    </row>
    <row r="26" spans="1:11" x14ac:dyDescent="0.25">
      <c r="A26" s="15"/>
      <c r="B26" s="25">
        <v>45</v>
      </c>
      <c r="C26" s="31" t="s">
        <v>34</v>
      </c>
      <c r="D26" s="18"/>
      <c r="E26" s="18"/>
      <c r="F26" s="73">
        <v>-56847.09</v>
      </c>
      <c r="G26" s="74">
        <v>-91400</v>
      </c>
      <c r="H26" s="73">
        <v>-440400</v>
      </c>
      <c r="I26" s="75">
        <v>-4000</v>
      </c>
      <c r="J26" s="75">
        <v>-4000</v>
      </c>
      <c r="K26" s="76">
        <v>-4000</v>
      </c>
    </row>
    <row r="27" spans="1:11" x14ac:dyDescent="0.25">
      <c r="A27" s="16"/>
      <c r="B27" s="26" t="s">
        <v>11</v>
      </c>
      <c r="C27" s="23"/>
      <c r="D27" s="23"/>
      <c r="E27" s="23"/>
      <c r="F27" s="77">
        <f>F25+F26</f>
        <v>60812.58</v>
      </c>
      <c r="G27" s="78">
        <f t="shared" ref="G27:K27" si="5">G25+G26</f>
        <v>-60500</v>
      </c>
      <c r="H27" s="77">
        <f t="shared" si="5"/>
        <v>-374500</v>
      </c>
      <c r="I27" s="77">
        <f t="shared" si="5"/>
        <v>16000</v>
      </c>
      <c r="J27" s="77">
        <f t="shared" si="5"/>
        <v>16000</v>
      </c>
      <c r="K27" s="79">
        <f t="shared" si="5"/>
        <v>16000</v>
      </c>
    </row>
    <row r="28" spans="1:11" x14ac:dyDescent="0.25">
      <c r="A28" s="18"/>
      <c r="B28" s="5"/>
      <c r="C28" s="5"/>
      <c r="D28" s="5"/>
      <c r="E28" s="5"/>
      <c r="F28" s="17"/>
      <c r="G28" s="17"/>
      <c r="H28" s="17"/>
      <c r="I28" s="17"/>
      <c r="J28" s="17"/>
      <c r="K28" s="17"/>
    </row>
    <row r="30" spans="1:11" x14ac:dyDescent="0.25">
      <c r="A30" s="20"/>
    </row>
    <row r="31" spans="1:11" x14ac:dyDescent="0.25">
      <c r="A31" s="20"/>
    </row>
    <row r="32" spans="1:11" x14ac:dyDescent="0.25">
      <c r="F32" s="88"/>
      <c r="H32" s="88"/>
      <c r="I32" s="94"/>
      <c r="J32" s="95" t="s">
        <v>49</v>
      </c>
      <c r="K32" s="94"/>
    </row>
    <row r="33" spans="3:11" x14ac:dyDescent="0.25">
      <c r="F33" s="88"/>
      <c r="H33" s="88"/>
      <c r="I33" s="88"/>
      <c r="J33" s="88"/>
      <c r="K33" s="88"/>
    </row>
    <row r="34" spans="3:11" x14ac:dyDescent="0.25">
      <c r="C34" s="8" t="s">
        <v>57</v>
      </c>
      <c r="F34" s="89"/>
      <c r="H34" s="89"/>
      <c r="I34" s="96">
        <f>IF(H42&gt;0,Grundeinstellungen!$Y$17*H42+Grundeinstellungen!$AC$17,10)</f>
        <v>10</v>
      </c>
      <c r="J34" s="96">
        <f>IF(I42&gt;0,Grundeinstellungen!$Y$17*I42+Grundeinstellungen!$AC$17,10)</f>
        <v>9.2534125870516188</v>
      </c>
      <c r="K34" s="96">
        <f>IF(J42&gt;0,Grundeinstellungen!$Y$17*J42+Grundeinstellungen!$AC$17,10)</f>
        <v>6.9061133140974045</v>
      </c>
    </row>
    <row r="35" spans="3:11" x14ac:dyDescent="0.25">
      <c r="C35" s="90" t="s">
        <v>50</v>
      </c>
      <c r="F35" s="89"/>
      <c r="H35" s="89"/>
      <c r="I35" s="88"/>
      <c r="J35" s="88"/>
      <c r="K35" s="88"/>
    </row>
    <row r="36" spans="3:11" x14ac:dyDescent="0.25">
      <c r="F36" s="88"/>
      <c r="H36" s="88"/>
      <c r="I36" s="88"/>
      <c r="J36" s="88"/>
      <c r="K36" s="88"/>
    </row>
    <row r="37" spans="3:11" x14ac:dyDescent="0.25">
      <c r="C37" s="8" t="s">
        <v>58</v>
      </c>
      <c r="F37" s="91"/>
      <c r="H37" s="91"/>
      <c r="I37" s="92">
        <f>I34*I14/100</f>
        <v>-1524000</v>
      </c>
      <c r="J37" s="92">
        <f>J34*J14/100</f>
        <v>-1408832.066378609</v>
      </c>
      <c r="K37" s="92">
        <f t="shared" ref="K37" si="6">K34*K14/100</f>
        <v>-1049383.9180771008</v>
      </c>
    </row>
    <row r="38" spans="3:11" x14ac:dyDescent="0.25">
      <c r="C38" s="90" t="s">
        <v>53</v>
      </c>
      <c r="I38" s="99">
        <f>I12-I37</f>
        <v>1624000</v>
      </c>
      <c r="J38" s="99">
        <f t="shared" ref="J38:K38" si="7">J12-J37</f>
        <v>5408832.0663786093</v>
      </c>
      <c r="K38" s="99">
        <f t="shared" si="7"/>
        <v>1340383.9180771008</v>
      </c>
    </row>
    <row r="39" spans="3:11" x14ac:dyDescent="0.25">
      <c r="C39" s="8"/>
      <c r="F39" s="91"/>
      <c r="H39" s="91"/>
      <c r="I39" s="88"/>
      <c r="J39" s="88"/>
      <c r="K39" s="88"/>
    </row>
    <row r="40" spans="3:11" x14ac:dyDescent="0.25">
      <c r="C40" s="8" t="s">
        <v>51</v>
      </c>
      <c r="F40" s="91"/>
      <c r="H40" s="92">
        <f>H16</f>
        <v>-2789929.41</v>
      </c>
      <c r="I40" s="92">
        <f>H40+I21-I24-I27-I12+I38</f>
        <v>1219070.5899999999</v>
      </c>
      <c r="J40" s="92">
        <f t="shared" ref="J40:K40" si="8">I40+J21-J24-J27-J12+J38</f>
        <v>5046902.6563786091</v>
      </c>
      <c r="K40" s="92">
        <f t="shared" si="8"/>
        <v>4703286.5744557101</v>
      </c>
    </row>
    <row r="41" spans="3:11" x14ac:dyDescent="0.25">
      <c r="C41" s="8"/>
      <c r="F41" s="88"/>
      <c r="H41" s="88"/>
      <c r="I41" s="97"/>
      <c r="J41" s="97"/>
      <c r="K41" s="97"/>
    </row>
    <row r="42" spans="3:11" x14ac:dyDescent="0.25">
      <c r="C42" s="8" t="s">
        <v>63</v>
      </c>
      <c r="F42" s="88"/>
      <c r="H42" s="93">
        <f>-H40/H14*100</f>
        <v>-18.370510370711791</v>
      </c>
      <c r="I42" s="96">
        <f>-I40/I14*100</f>
        <v>7.9991508530183717</v>
      </c>
      <c r="J42" s="96">
        <f t="shared" ref="J42:K42" si="9">-J40/J14*100</f>
        <v>33.148785920384952</v>
      </c>
      <c r="K42" s="96">
        <f t="shared" si="9"/>
        <v>30.952856692699637</v>
      </c>
    </row>
    <row r="43" spans="3:11" x14ac:dyDescent="0.25">
      <c r="C43" s="135" t="s">
        <v>62</v>
      </c>
      <c r="D43" s="9"/>
      <c r="E43" s="9"/>
      <c r="F43" s="9"/>
      <c r="H43" s="136" t="str">
        <f>IF(H42&lt;100,"gut", IF(H42&gt;150,"schlecht","genügend"))</f>
        <v>gut</v>
      </c>
      <c r="I43" s="136" t="str">
        <f t="shared" ref="I43:J43" si="10">IF(I42&lt;100,"gut", IF(I42&gt;150,"schlecht","genügend"))</f>
        <v>gut</v>
      </c>
      <c r="J43" s="136" t="str">
        <f t="shared" si="10"/>
        <v>gut</v>
      </c>
      <c r="K43" s="136" t="str">
        <f>IF(K42&lt;100,"gut", IF(K42&gt;150,"schlecht","genügend"))</f>
        <v>gut</v>
      </c>
    </row>
    <row r="45" spans="3:11" x14ac:dyDescent="0.25">
      <c r="C45" s="8" t="s">
        <v>77</v>
      </c>
      <c r="E45" s="5"/>
      <c r="F45" s="92">
        <f>-1.5*F14</f>
        <v>22784196.149999999</v>
      </c>
      <c r="G45" s="92">
        <f t="shared" ref="G45:K45" si="11">-1.5*G14</f>
        <v>22570500</v>
      </c>
      <c r="H45" s="92">
        <f t="shared" si="11"/>
        <v>22780500</v>
      </c>
      <c r="I45" s="92">
        <f t="shared" si="11"/>
        <v>22860000</v>
      </c>
      <c r="J45" s="92">
        <f t="shared" si="11"/>
        <v>22837500</v>
      </c>
      <c r="K45" s="92">
        <f t="shared" si="11"/>
        <v>22792500</v>
      </c>
    </row>
    <row r="46" spans="3:11" x14ac:dyDescent="0.25">
      <c r="C46" s="90" t="s">
        <v>52</v>
      </c>
      <c r="F46" s="99">
        <f t="shared" ref="F46:K46" si="12">F45-F16</f>
        <v>29897025.559999999</v>
      </c>
      <c r="G46" s="99">
        <f t="shared" si="12"/>
        <v>26503729.41</v>
      </c>
      <c r="H46" s="99">
        <f t="shared" si="12"/>
        <v>25570429.41</v>
      </c>
      <c r="I46" s="99">
        <f t="shared" si="12"/>
        <v>23264929.41</v>
      </c>
      <c r="J46" s="99">
        <f t="shared" si="12"/>
        <v>24823429.41</v>
      </c>
      <c r="K46" s="99">
        <f t="shared" si="12"/>
        <v>26462429.41</v>
      </c>
    </row>
  </sheetData>
  <pageMargins left="0.70866141732283472" right="0.70866141732283472" top="0.78740157480314965" bottom="0.78740157480314965" header="0.31496062992125984" footer="0.31496062992125984"/>
  <pageSetup paperSize="8" scale="76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3F357B1-2386-4DD1-B96E-28015A2C3E9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0"/>
              <x14:cfIcon iconSet="NoIcons" iconId="0"/>
              <x14:cfIcon iconSet="3Symbols" iconId="2"/>
            </x14:iconSet>
          </x14:cfRule>
          <xm:sqref>F46:K46 I38:K38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opLeftCell="B1" zoomScaleNormal="100" workbookViewId="0">
      <pane ySplit="5" topLeftCell="A15" activePane="bottomLeft" state="frozen"/>
      <selection activeCell="C35" sqref="C35"/>
      <selection pane="bottomLeft" activeCell="H37" sqref="H37"/>
    </sheetView>
  </sheetViews>
  <sheetFormatPr baseColWidth="10" defaultRowHeight="15" x14ac:dyDescent="0.25"/>
  <cols>
    <col min="1" max="1" width="37.140625" customWidth="1"/>
    <col min="2" max="2" width="7.28515625" customWidth="1"/>
    <col min="3" max="3" width="26" bestFit="1" customWidth="1"/>
    <col min="5" max="5" width="23.85546875" customWidth="1"/>
    <col min="6" max="6" width="15.85546875" customWidth="1"/>
    <col min="7" max="11" width="18.5703125" customWidth="1"/>
    <col min="13" max="13" width="27" bestFit="1" customWidth="1"/>
  </cols>
  <sheetData>
    <row r="1" spans="1:18" ht="21" x14ac:dyDescent="0.35">
      <c r="A1" s="1" t="s">
        <v>4</v>
      </c>
      <c r="J1" s="22" t="s">
        <v>24</v>
      </c>
      <c r="K1" s="22" t="s">
        <v>12</v>
      </c>
    </row>
    <row r="4" spans="1:18" ht="15.75" x14ac:dyDescent="0.25">
      <c r="A4" s="11" t="s">
        <v>8</v>
      </c>
      <c r="B4" s="24"/>
      <c r="C4" s="35"/>
      <c r="D4" s="35"/>
      <c r="E4" s="35"/>
      <c r="F4" s="3">
        <v>2018</v>
      </c>
      <c r="G4" s="3">
        <v>2019</v>
      </c>
      <c r="H4" s="3">
        <v>2020</v>
      </c>
      <c r="I4" s="3">
        <v>2021</v>
      </c>
      <c r="J4" s="3">
        <v>2022</v>
      </c>
      <c r="K4" s="4">
        <v>2023</v>
      </c>
    </row>
    <row r="5" spans="1:18" x14ac:dyDescent="0.25">
      <c r="A5" s="40"/>
      <c r="B5" s="37"/>
      <c r="C5" s="37"/>
      <c r="D5" s="37"/>
      <c r="E5" s="37"/>
      <c r="F5" s="129" t="s">
        <v>0</v>
      </c>
      <c r="G5" s="129" t="s">
        <v>1</v>
      </c>
      <c r="H5" s="129" t="s">
        <v>1</v>
      </c>
      <c r="I5" s="129" t="s">
        <v>2</v>
      </c>
      <c r="J5" s="129" t="s">
        <v>2</v>
      </c>
      <c r="K5" s="130" t="s">
        <v>2</v>
      </c>
      <c r="M5" s="82" t="s">
        <v>44</v>
      </c>
    </row>
    <row r="6" spans="1:18" x14ac:dyDescent="0.25">
      <c r="A6" s="40"/>
      <c r="B6" s="37"/>
      <c r="C6" s="37"/>
      <c r="D6" s="37"/>
      <c r="E6" s="37"/>
      <c r="F6" s="37"/>
      <c r="G6" s="21"/>
      <c r="H6" s="37"/>
      <c r="I6" s="37"/>
      <c r="J6" s="37"/>
      <c r="K6" s="41"/>
    </row>
    <row r="7" spans="1:18" x14ac:dyDescent="0.25">
      <c r="A7" s="7" t="s">
        <v>27</v>
      </c>
      <c r="B7" s="42" t="s">
        <v>28</v>
      </c>
      <c r="C7" s="8"/>
      <c r="D7" s="8"/>
      <c r="E7" s="8"/>
      <c r="F7" s="46">
        <v>9458.9699999999993</v>
      </c>
      <c r="G7" s="47">
        <v>-416252</v>
      </c>
      <c r="H7" s="46">
        <v>-793877</v>
      </c>
      <c r="I7" s="48">
        <v>-930101.320564172</v>
      </c>
      <c r="J7" s="48">
        <v>-567017.66119519016</v>
      </c>
      <c r="K7" s="49">
        <v>-728425.59599945892</v>
      </c>
      <c r="M7" s="45" t="s">
        <v>37</v>
      </c>
      <c r="N7" s="2"/>
      <c r="O7" s="2"/>
      <c r="P7" s="2"/>
      <c r="Q7" s="2"/>
      <c r="R7" s="2"/>
    </row>
    <row r="8" spans="1:18" x14ac:dyDescent="0.25">
      <c r="A8" s="40" t="s">
        <v>22</v>
      </c>
      <c r="B8" s="36">
        <v>383</v>
      </c>
      <c r="C8" s="36" t="s">
        <v>30</v>
      </c>
      <c r="D8" s="37"/>
      <c r="E8" s="37"/>
      <c r="F8" s="50">
        <v>611502.82999999996</v>
      </c>
      <c r="G8" s="51">
        <v>646000</v>
      </c>
      <c r="H8" s="50">
        <v>344500</v>
      </c>
      <c r="I8" s="52">
        <v>103000</v>
      </c>
      <c r="J8" s="55">
        <v>0</v>
      </c>
      <c r="K8" s="56">
        <v>0</v>
      </c>
      <c r="M8" s="30" t="s">
        <v>46</v>
      </c>
    </row>
    <row r="9" spans="1:18" x14ac:dyDescent="0.25">
      <c r="A9" s="40"/>
      <c r="B9" s="36">
        <v>387</v>
      </c>
      <c r="C9" s="36" t="s">
        <v>29</v>
      </c>
      <c r="D9" s="37"/>
      <c r="E9" s="37"/>
      <c r="F9" s="54">
        <v>0</v>
      </c>
      <c r="G9" s="54">
        <v>0</v>
      </c>
      <c r="H9" s="54">
        <v>0</v>
      </c>
      <c r="I9" s="55">
        <v>0</v>
      </c>
      <c r="J9" s="55">
        <v>0</v>
      </c>
      <c r="K9" s="56">
        <v>0</v>
      </c>
      <c r="M9" s="2"/>
    </row>
    <row r="10" spans="1:18" x14ac:dyDescent="0.25">
      <c r="A10" s="40"/>
      <c r="B10" s="36">
        <v>389</v>
      </c>
      <c r="C10" s="36" t="s">
        <v>25</v>
      </c>
      <c r="D10" s="37"/>
      <c r="E10" s="37"/>
      <c r="F10" s="50">
        <v>1400000</v>
      </c>
      <c r="G10" s="54">
        <v>0</v>
      </c>
      <c r="H10" s="54">
        <v>0</v>
      </c>
      <c r="I10" s="55">
        <v>0</v>
      </c>
      <c r="J10" s="55">
        <v>0</v>
      </c>
      <c r="K10" s="56">
        <v>0</v>
      </c>
      <c r="M10" s="2"/>
    </row>
    <row r="11" spans="1:18" x14ac:dyDescent="0.25">
      <c r="A11" s="40"/>
      <c r="B11" s="36">
        <v>483</v>
      </c>
      <c r="C11" s="36" t="s">
        <v>65</v>
      </c>
      <c r="D11" s="37"/>
      <c r="E11" s="37"/>
      <c r="F11" s="50">
        <v>-40000</v>
      </c>
      <c r="G11" s="54"/>
      <c r="H11" s="54"/>
      <c r="I11" s="55"/>
      <c r="J11" s="55"/>
      <c r="K11" s="56"/>
      <c r="M11" s="2"/>
    </row>
    <row r="12" spans="1:18" x14ac:dyDescent="0.25">
      <c r="A12" s="43" t="s">
        <v>23</v>
      </c>
      <c r="B12" s="44">
        <v>489</v>
      </c>
      <c r="C12" s="36" t="s">
        <v>26</v>
      </c>
      <c r="D12" s="39"/>
      <c r="E12" s="39"/>
      <c r="F12" s="54">
        <v>0</v>
      </c>
      <c r="G12" s="54">
        <v>0</v>
      </c>
      <c r="H12" s="54">
        <v>0</v>
      </c>
      <c r="I12" s="55">
        <v>0</v>
      </c>
      <c r="J12" s="55">
        <v>0</v>
      </c>
      <c r="K12" s="56">
        <v>0</v>
      </c>
      <c r="M12" s="2"/>
    </row>
    <row r="13" spans="1:18" x14ac:dyDescent="0.25">
      <c r="A13" s="7" t="s">
        <v>3</v>
      </c>
      <c r="B13" s="8"/>
      <c r="C13" s="36"/>
      <c r="D13" s="8"/>
      <c r="E13" s="8"/>
      <c r="F13" s="57">
        <f>SUM(F7:F12)</f>
        <v>1980961.7999999998</v>
      </c>
      <c r="G13" s="58">
        <f t="shared" ref="G13:K13" si="0">SUM(G7:G12)</f>
        <v>229748</v>
      </c>
      <c r="H13" s="57">
        <f t="shared" si="0"/>
        <v>-449377</v>
      </c>
      <c r="I13" s="57">
        <f t="shared" si="0"/>
        <v>-827101.320564172</v>
      </c>
      <c r="J13" s="57">
        <f t="shared" si="0"/>
        <v>-567017.66119519016</v>
      </c>
      <c r="K13" s="59">
        <f t="shared" si="0"/>
        <v>-728425.59599945892</v>
      </c>
      <c r="M13" s="2"/>
    </row>
    <row r="14" spans="1:18" x14ac:dyDescent="0.25">
      <c r="A14" s="40"/>
      <c r="B14" s="37"/>
      <c r="C14" s="36"/>
      <c r="D14" s="37"/>
      <c r="E14" s="37"/>
      <c r="F14" s="60"/>
      <c r="G14" s="61"/>
      <c r="H14" s="60"/>
      <c r="I14" s="60"/>
      <c r="J14" s="60"/>
      <c r="K14" s="62"/>
    </row>
    <row r="15" spans="1:18" ht="17.25" x14ac:dyDescent="0.25">
      <c r="A15" s="12" t="s">
        <v>20</v>
      </c>
      <c r="B15" s="36">
        <v>40</v>
      </c>
      <c r="C15" s="36" t="s">
        <v>20</v>
      </c>
      <c r="D15" s="13"/>
      <c r="E15" s="8"/>
      <c r="F15" s="46">
        <v>-17424813</v>
      </c>
      <c r="G15" s="47">
        <v>-16500000</v>
      </c>
      <c r="H15" s="46">
        <v>-16900000</v>
      </c>
      <c r="I15" s="48">
        <v>-17133028</v>
      </c>
      <c r="J15" s="48">
        <v>-17207973.552000001</v>
      </c>
      <c r="K15" s="49">
        <v>-17283200.433727998</v>
      </c>
      <c r="L15" s="19"/>
    </row>
    <row r="16" spans="1:18" x14ac:dyDescent="0.25">
      <c r="A16" s="43"/>
      <c r="B16" s="39"/>
      <c r="C16" s="36"/>
      <c r="D16" s="39"/>
      <c r="E16" s="37"/>
      <c r="F16" s="60"/>
      <c r="G16" s="61"/>
      <c r="H16" s="60"/>
      <c r="I16" s="60"/>
      <c r="J16" s="60"/>
      <c r="K16" s="62"/>
    </row>
    <row r="17" spans="1:13" x14ac:dyDescent="0.25">
      <c r="A17" s="12" t="s">
        <v>54</v>
      </c>
      <c r="B17" s="13"/>
      <c r="C17" s="36"/>
      <c r="D17" s="13"/>
      <c r="E17" s="8"/>
      <c r="F17" s="63">
        <v>1304622.95</v>
      </c>
      <c r="G17" s="64">
        <f>F17-G13-G25-G28+G22</f>
        <v>8459278.9499999993</v>
      </c>
      <c r="H17" s="64">
        <f t="shared" ref="H17:K17" si="1">G17-H13-H25-H28+H22</f>
        <v>14704555.949999999</v>
      </c>
      <c r="I17" s="64">
        <f t="shared" si="1"/>
        <v>20420928.785888501</v>
      </c>
      <c r="J17" s="64">
        <f t="shared" si="1"/>
        <v>21117755.37763172</v>
      </c>
      <c r="K17" s="64">
        <f t="shared" si="1"/>
        <v>21155092.912764475</v>
      </c>
      <c r="M17" s="29" t="s">
        <v>21</v>
      </c>
    </row>
    <row r="18" spans="1:13" s="98" customFormat="1" x14ac:dyDescent="0.25">
      <c r="A18" s="12"/>
      <c r="B18" s="13"/>
      <c r="C18" s="44"/>
      <c r="D18" s="13"/>
      <c r="E18" s="13"/>
      <c r="F18" s="103"/>
      <c r="G18" s="104"/>
      <c r="H18" s="103"/>
      <c r="I18" s="103"/>
      <c r="J18" s="103"/>
      <c r="K18" s="105"/>
    </row>
    <row r="19" spans="1:13" x14ac:dyDescent="0.25">
      <c r="A19" s="12" t="s">
        <v>7</v>
      </c>
      <c r="B19" s="13"/>
      <c r="C19" s="36"/>
      <c r="D19" s="13"/>
      <c r="E19" s="8"/>
      <c r="F19" s="128">
        <f>-1/F15*F17</f>
        <v>7.4871561031960576E-2</v>
      </c>
      <c r="G19" s="128">
        <f t="shared" ref="G19:K19" si="2">-1/G15*G17</f>
        <v>0.51268357272727272</v>
      </c>
      <c r="H19" s="128">
        <f t="shared" si="2"/>
        <v>0.87009206804733719</v>
      </c>
      <c r="I19" s="128">
        <f t="shared" si="2"/>
        <v>1.1919042440068679</v>
      </c>
      <c r="J19" s="128">
        <f t="shared" si="2"/>
        <v>1.2272075682715879</v>
      </c>
      <c r="K19" s="131">
        <f t="shared" si="2"/>
        <v>1.2240263598101031</v>
      </c>
    </row>
    <row r="20" spans="1:13" x14ac:dyDescent="0.25">
      <c r="A20" s="134" t="s">
        <v>62</v>
      </c>
      <c r="B20" s="14"/>
      <c r="C20" s="38"/>
      <c r="D20" s="14"/>
      <c r="E20" s="10"/>
      <c r="F20" s="65" t="str">
        <f>IF(F19&lt;100%,"gut", IF(F19&gt;150%,"schlecht","genügend"))</f>
        <v>gut</v>
      </c>
      <c r="G20" s="65" t="str">
        <f t="shared" ref="G20:K20" si="3">IF(G19&lt;100%,"gut", IF(G19&gt;150%,"schlecht","genügend"))</f>
        <v>gut</v>
      </c>
      <c r="H20" s="65" t="str">
        <f t="shared" si="3"/>
        <v>gut</v>
      </c>
      <c r="I20" s="65" t="str">
        <f t="shared" si="3"/>
        <v>genügend</v>
      </c>
      <c r="J20" s="65" t="str">
        <f t="shared" si="3"/>
        <v>genügend</v>
      </c>
      <c r="K20" s="66" t="str">
        <f t="shared" si="3"/>
        <v>genügend</v>
      </c>
    </row>
    <row r="21" spans="1:13" x14ac:dyDescent="0.25">
      <c r="F21" s="67"/>
      <c r="G21" s="68"/>
      <c r="H21" s="67"/>
      <c r="I21" s="67"/>
      <c r="J21" s="67"/>
      <c r="K21" s="67"/>
    </row>
    <row r="22" spans="1:13" x14ac:dyDescent="0.25">
      <c r="A22" s="32" t="s">
        <v>5</v>
      </c>
      <c r="B22" s="27"/>
      <c r="C22" s="28"/>
      <c r="D22" s="28"/>
      <c r="E22" s="28"/>
      <c r="F22" s="69">
        <v>2673896.44</v>
      </c>
      <c r="G22" s="70">
        <v>9205000</v>
      </c>
      <c r="H22" s="69">
        <v>7299300</v>
      </c>
      <c r="I22" s="71">
        <f>6626000+2000</f>
        <v>6628000</v>
      </c>
      <c r="J22" s="71">
        <f>2005000+2000</f>
        <v>2007000</v>
      </c>
      <c r="K22" s="72">
        <f>1228000+2000</f>
        <v>1230000</v>
      </c>
    </row>
    <row r="23" spans="1:13" x14ac:dyDescent="0.25">
      <c r="A23" s="33" t="s">
        <v>6</v>
      </c>
      <c r="B23" s="27">
        <v>33</v>
      </c>
      <c r="C23" s="28" t="s">
        <v>31</v>
      </c>
      <c r="D23" s="28"/>
      <c r="E23" s="28"/>
      <c r="F23" s="69">
        <v>1453369.42</v>
      </c>
      <c r="G23" s="70">
        <v>1681500</v>
      </c>
      <c r="H23" s="69">
        <v>1360800</v>
      </c>
      <c r="I23" s="71">
        <v>1492482.6220356701</v>
      </c>
      <c r="J23" s="71">
        <v>1698969.7930759704</v>
      </c>
      <c r="K23" s="72">
        <v>1788228.9121283048</v>
      </c>
    </row>
    <row r="24" spans="1:13" x14ac:dyDescent="0.25">
      <c r="A24" s="34"/>
      <c r="B24" s="25">
        <v>366</v>
      </c>
      <c r="C24" s="18" t="s">
        <v>32</v>
      </c>
      <c r="D24" s="18"/>
      <c r="E24" s="18"/>
      <c r="F24" s="73">
        <v>0</v>
      </c>
      <c r="G24" s="74">
        <v>0</v>
      </c>
      <c r="H24" s="73">
        <v>117300</v>
      </c>
      <c r="I24" s="75">
        <v>196245.86263999998</v>
      </c>
      <c r="J24" s="75">
        <v>205621.27637599999</v>
      </c>
      <c r="K24" s="76">
        <v>204059.14873839999</v>
      </c>
    </row>
    <row r="25" spans="1:13" x14ac:dyDescent="0.25">
      <c r="A25" s="16"/>
      <c r="B25" s="26" t="s">
        <v>10</v>
      </c>
      <c r="C25" s="23"/>
      <c r="D25" s="23"/>
      <c r="E25" s="23"/>
      <c r="F25" s="77">
        <f>F23+F24</f>
        <v>1453369.42</v>
      </c>
      <c r="G25" s="78">
        <f t="shared" ref="G25:K25" si="4">G23+G24</f>
        <v>1681500</v>
      </c>
      <c r="H25" s="77">
        <f t="shared" si="4"/>
        <v>1478100</v>
      </c>
      <c r="I25" s="77">
        <f>I23+I24</f>
        <v>1688728.48467567</v>
      </c>
      <c r="J25" s="77">
        <f t="shared" si="4"/>
        <v>1904591.0694519703</v>
      </c>
      <c r="K25" s="79">
        <f t="shared" si="4"/>
        <v>1992288.0608667049</v>
      </c>
    </row>
    <row r="26" spans="1:13" x14ac:dyDescent="0.25">
      <c r="A26" s="33" t="s">
        <v>18</v>
      </c>
      <c r="B26" s="25">
        <v>35</v>
      </c>
      <c r="C26" s="31" t="s">
        <v>33</v>
      </c>
      <c r="D26" s="18"/>
      <c r="E26" s="18"/>
      <c r="F26" s="73">
        <v>527993.38</v>
      </c>
      <c r="G26" s="74">
        <v>191346</v>
      </c>
      <c r="H26" s="73">
        <v>89350</v>
      </c>
      <c r="I26" s="75">
        <v>50000</v>
      </c>
      <c r="J26" s="75">
        <v>50000</v>
      </c>
      <c r="K26" s="76">
        <v>0</v>
      </c>
    </row>
    <row r="27" spans="1:13" x14ac:dyDescent="0.25">
      <c r="A27" s="15"/>
      <c r="B27" s="25">
        <v>45</v>
      </c>
      <c r="C27" s="31" t="s">
        <v>34</v>
      </c>
      <c r="D27" s="18"/>
      <c r="E27" s="18"/>
      <c r="F27" s="73">
        <v>-9927</v>
      </c>
      <c r="G27" s="74">
        <v>-52250</v>
      </c>
      <c r="H27" s="73">
        <v>-64050</v>
      </c>
      <c r="I27" s="75">
        <v>0</v>
      </c>
      <c r="J27" s="75">
        <v>-77400</v>
      </c>
      <c r="K27" s="76">
        <v>-71200</v>
      </c>
    </row>
    <row r="28" spans="1:13" x14ac:dyDescent="0.25">
      <c r="A28" s="16"/>
      <c r="B28" s="26" t="s">
        <v>11</v>
      </c>
      <c r="C28" s="23"/>
      <c r="D28" s="23"/>
      <c r="E28" s="23"/>
      <c r="F28" s="77">
        <f>F26+F27</f>
        <v>518066.38</v>
      </c>
      <c r="G28" s="78">
        <f t="shared" ref="G28:K28" si="5">G26+G27</f>
        <v>139096</v>
      </c>
      <c r="H28" s="77">
        <f t="shared" si="5"/>
        <v>25300</v>
      </c>
      <c r="I28" s="77">
        <f t="shared" si="5"/>
        <v>50000</v>
      </c>
      <c r="J28" s="77">
        <f t="shared" si="5"/>
        <v>-27400</v>
      </c>
      <c r="K28" s="79">
        <f t="shared" si="5"/>
        <v>-71200</v>
      </c>
    </row>
    <row r="29" spans="1:13" x14ac:dyDescent="0.25">
      <c r="A29" s="18"/>
      <c r="B29" s="5"/>
      <c r="C29" s="5"/>
      <c r="D29" s="5"/>
      <c r="E29" s="5"/>
      <c r="F29" s="17"/>
      <c r="G29" s="17"/>
      <c r="H29" s="17"/>
      <c r="I29" s="17"/>
      <c r="J29" s="17"/>
      <c r="K29" s="17"/>
    </row>
    <row r="30" spans="1:13" x14ac:dyDescent="0.25">
      <c r="G30" s="98"/>
      <c r="H30" s="98"/>
    </row>
    <row r="31" spans="1:13" x14ac:dyDescent="0.25">
      <c r="A31" s="20"/>
      <c r="G31" s="98"/>
      <c r="H31" s="101"/>
    </row>
    <row r="32" spans="1:13" x14ac:dyDescent="0.25">
      <c r="A32" s="20"/>
    </row>
    <row r="33" spans="3:11" x14ac:dyDescent="0.25">
      <c r="F33" s="88"/>
      <c r="H33" s="88"/>
      <c r="I33" s="94"/>
      <c r="J33" s="95" t="s">
        <v>49</v>
      </c>
      <c r="K33" s="94"/>
    </row>
    <row r="34" spans="3:11" x14ac:dyDescent="0.25">
      <c r="F34" s="88"/>
      <c r="H34" s="88"/>
      <c r="I34" s="88"/>
      <c r="J34" s="88"/>
      <c r="K34" s="88"/>
    </row>
    <row r="35" spans="3:11" x14ac:dyDescent="0.25">
      <c r="C35" s="8" t="s">
        <v>57</v>
      </c>
      <c r="F35" s="89"/>
      <c r="H35" s="89"/>
      <c r="I35" s="96">
        <f>IF(H43&gt;0,Grundeinstellungen!$Y$17*H43+Grundeinstellungen!$AC$17,10)</f>
        <v>1.8791406982248517</v>
      </c>
      <c r="J35" s="96">
        <f>IF(I43&gt;0,Grundeinstellungen!$Y$17*I43+Grundeinstellungen!$AC$17,10)</f>
        <v>-0.84925701564441169</v>
      </c>
      <c r="K35" s="96">
        <f>IF(J43&gt;0,Grundeinstellungen!$Y$17*J43+Grundeinstellungen!$AC$17,10)</f>
        <v>-0.79314778548005904</v>
      </c>
    </row>
    <row r="36" spans="3:11" x14ac:dyDescent="0.25">
      <c r="C36" s="90" t="s">
        <v>50</v>
      </c>
      <c r="F36" s="89"/>
      <c r="H36" s="89"/>
      <c r="I36" s="88"/>
      <c r="J36" s="88"/>
      <c r="K36" s="88"/>
    </row>
    <row r="37" spans="3:11" x14ac:dyDescent="0.25">
      <c r="F37" s="88"/>
      <c r="H37" s="88"/>
      <c r="I37" s="88"/>
      <c r="J37" s="88"/>
      <c r="K37" s="88"/>
    </row>
    <row r="38" spans="3:11" x14ac:dyDescent="0.25">
      <c r="C38" s="8" t="s">
        <v>58</v>
      </c>
      <c r="F38" s="91"/>
      <c r="H38" s="91"/>
      <c r="I38" s="92">
        <f>I35*I15/100</f>
        <v>-321953.70198625937</v>
      </c>
      <c r="J38" s="92">
        <f>J35*J15/100</f>
        <v>146139.92264059489</v>
      </c>
      <c r="K38" s="92">
        <f t="shared" ref="K38" si="6">K35*K15/100</f>
        <v>137081.32150019356</v>
      </c>
    </row>
    <row r="39" spans="3:11" x14ac:dyDescent="0.25">
      <c r="C39" s="90" t="s">
        <v>53</v>
      </c>
      <c r="I39" s="99">
        <f>I13-I38</f>
        <v>-505147.61857791262</v>
      </c>
      <c r="J39" s="99">
        <f t="shared" ref="J39:K39" si="7">J13-J38</f>
        <v>-713157.58383578504</v>
      </c>
      <c r="K39" s="99">
        <f t="shared" si="7"/>
        <v>-865506.91749965248</v>
      </c>
    </row>
    <row r="40" spans="3:11" x14ac:dyDescent="0.25">
      <c r="C40" s="8"/>
      <c r="F40" s="91"/>
      <c r="H40" s="91"/>
      <c r="I40" s="88"/>
      <c r="J40" s="88"/>
      <c r="K40" s="88"/>
    </row>
    <row r="41" spans="3:11" x14ac:dyDescent="0.25">
      <c r="C41" s="8" t="s">
        <v>51</v>
      </c>
      <c r="F41" s="91"/>
      <c r="H41" s="92">
        <f>H17</f>
        <v>14704555.949999999</v>
      </c>
      <c r="I41" s="92">
        <f>H41+I22-I25-I28-I13+I39</f>
        <v>19915781.167310588</v>
      </c>
      <c r="J41" s="92">
        <f t="shared" ref="J41" si="8">I41+J22-J25-J28-J13+J39</f>
        <v>19899450.175218023</v>
      </c>
      <c r="K41" s="92">
        <f>J41+K22-K25-K28-K13+K39</f>
        <v>19071280.792851124</v>
      </c>
    </row>
    <row r="42" spans="3:11" x14ac:dyDescent="0.25">
      <c r="C42" s="8"/>
      <c r="F42" s="88"/>
      <c r="H42" s="88"/>
      <c r="I42" s="97"/>
      <c r="J42" s="97"/>
      <c r="K42" s="97"/>
    </row>
    <row r="43" spans="3:11" x14ac:dyDescent="0.25">
      <c r="C43" s="8" t="s">
        <v>63</v>
      </c>
      <c r="F43" s="88"/>
      <c r="H43" s="93">
        <f>-H41/H15*100</f>
        <v>87.009206804733722</v>
      </c>
      <c r="I43" s="96">
        <f>-I41/I15*100</f>
        <v>116.24203945333298</v>
      </c>
      <c r="J43" s="96">
        <f t="shared" ref="J43:K43" si="9">-J41/J15*100</f>
        <v>115.64086913014349</v>
      </c>
      <c r="K43" s="96">
        <f t="shared" si="9"/>
        <v>110.34577112022437</v>
      </c>
    </row>
    <row r="44" spans="3:11" x14ac:dyDescent="0.25">
      <c r="C44" s="135" t="s">
        <v>62</v>
      </c>
      <c r="D44" s="9"/>
      <c r="E44" s="9"/>
      <c r="F44" s="9"/>
      <c r="H44" s="136" t="str">
        <f>IF(H43&lt;100,"gut", IF(H43&gt;150,"schlecht","genügend"))</f>
        <v>gut</v>
      </c>
      <c r="I44" s="136" t="str">
        <f t="shared" ref="I44:J44" si="10">IF(I43&lt;100,"gut", IF(I43&gt;150,"schlecht","genügend"))</f>
        <v>genügend</v>
      </c>
      <c r="J44" s="136" t="str">
        <f t="shared" si="10"/>
        <v>genügend</v>
      </c>
      <c r="K44" s="136" t="str">
        <f>IF(K43&lt;100,"gut", IF(K43&gt;150,"schlecht","genügend"))</f>
        <v>genügend</v>
      </c>
    </row>
    <row r="46" spans="3:11" x14ac:dyDescent="0.25">
      <c r="C46" s="8" t="s">
        <v>77</v>
      </c>
      <c r="E46" s="5"/>
      <c r="F46" s="92">
        <f>-1.5*F15</f>
        <v>26137219.5</v>
      </c>
      <c r="G46" s="92">
        <f t="shared" ref="G46:K46" si="11">-1.5*G15</f>
        <v>24750000</v>
      </c>
      <c r="H46" s="92">
        <f t="shared" si="11"/>
        <v>25350000</v>
      </c>
      <c r="I46" s="92">
        <f t="shared" si="11"/>
        <v>25699542</v>
      </c>
      <c r="J46" s="92">
        <f t="shared" si="11"/>
        <v>25811960.328000002</v>
      </c>
      <c r="K46" s="92">
        <f t="shared" si="11"/>
        <v>25924800.650591999</v>
      </c>
    </row>
    <row r="47" spans="3:11" x14ac:dyDescent="0.25">
      <c r="C47" s="90" t="s">
        <v>52</v>
      </c>
      <c r="F47" s="99">
        <f t="shared" ref="F47:K47" si="12">F46-F17</f>
        <v>24832596.550000001</v>
      </c>
      <c r="G47" s="99">
        <f t="shared" si="12"/>
        <v>16290721.050000001</v>
      </c>
      <c r="H47" s="99">
        <f t="shared" si="12"/>
        <v>10645444.050000001</v>
      </c>
      <c r="I47" s="99">
        <f t="shared" si="12"/>
        <v>5278613.2141114995</v>
      </c>
      <c r="J47" s="99">
        <f t="shared" si="12"/>
        <v>4694204.9503682815</v>
      </c>
      <c r="K47" s="99">
        <f t="shared" si="12"/>
        <v>4769707.7378275245</v>
      </c>
    </row>
  </sheetData>
  <pageMargins left="0.70866141732283472" right="0.70866141732283472" top="0.78740157480314965" bottom="0.78740157480314965" header="0.31496062992125984" footer="0.31496062992125984"/>
  <pageSetup paperSize="8" scale="76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5A82694-64D0-43C6-A1F5-E1ABD680A20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0"/>
              <x14:cfIcon iconSet="NoIcons" iconId="0"/>
              <x14:cfIcon iconSet="3Symbols" iconId="2"/>
            </x14:iconSet>
          </x14:cfRule>
          <xm:sqref>F47:K47 I39:K39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opLeftCell="E1" zoomScaleNormal="100" workbookViewId="0">
      <pane ySplit="5" topLeftCell="A17" activePane="bottomLeft" state="frozen"/>
      <selection activeCell="C35" sqref="C35"/>
      <selection pane="bottomLeft" activeCell="I35" sqref="I35:K35"/>
    </sheetView>
  </sheetViews>
  <sheetFormatPr baseColWidth="10" defaultRowHeight="15" x14ac:dyDescent="0.25"/>
  <cols>
    <col min="1" max="1" width="37.140625" customWidth="1"/>
    <col min="2" max="2" width="7.28515625" customWidth="1"/>
    <col min="3" max="3" width="26" bestFit="1" customWidth="1"/>
    <col min="5" max="5" width="23.85546875" customWidth="1"/>
    <col min="6" max="6" width="15.85546875" customWidth="1"/>
    <col min="7" max="11" width="18.5703125" customWidth="1"/>
    <col min="13" max="13" width="27" bestFit="1" customWidth="1"/>
  </cols>
  <sheetData>
    <row r="1" spans="1:18" ht="21" x14ac:dyDescent="0.35">
      <c r="A1" s="1" t="s">
        <v>4</v>
      </c>
      <c r="J1" s="22" t="s">
        <v>24</v>
      </c>
      <c r="K1" s="22" t="s">
        <v>15</v>
      </c>
    </row>
    <row r="4" spans="1:18" ht="15.75" x14ac:dyDescent="0.25">
      <c r="A4" s="11" t="s">
        <v>8</v>
      </c>
      <c r="B4" s="24"/>
      <c r="C4" s="35"/>
      <c r="D4" s="35"/>
      <c r="E4" s="35"/>
      <c r="F4" s="3">
        <v>2018</v>
      </c>
      <c r="G4" s="3">
        <v>2019</v>
      </c>
      <c r="H4" s="3">
        <v>2020</v>
      </c>
      <c r="I4" s="3">
        <v>2021</v>
      </c>
      <c r="J4" s="3">
        <v>2022</v>
      </c>
      <c r="K4" s="4">
        <v>2023</v>
      </c>
    </row>
    <row r="5" spans="1:18" x14ac:dyDescent="0.25">
      <c r="A5" s="40"/>
      <c r="B5" s="37"/>
      <c r="C5" s="37"/>
      <c r="D5" s="37"/>
      <c r="E5" s="37"/>
      <c r="F5" s="129" t="s">
        <v>0</v>
      </c>
      <c r="G5" s="129" t="s">
        <v>1</v>
      </c>
      <c r="H5" s="129" t="s">
        <v>1</v>
      </c>
      <c r="I5" s="129" t="s">
        <v>2</v>
      </c>
      <c r="J5" s="129" t="s">
        <v>2</v>
      </c>
      <c r="K5" s="130" t="s">
        <v>2</v>
      </c>
      <c r="M5" s="82" t="s">
        <v>44</v>
      </c>
    </row>
    <row r="6" spans="1:18" x14ac:dyDescent="0.25">
      <c r="A6" s="40"/>
      <c r="B6" s="37"/>
      <c r="C6" s="37"/>
      <c r="D6" s="37"/>
      <c r="E6" s="37"/>
      <c r="F6" s="37"/>
      <c r="G6" s="21"/>
      <c r="H6" s="37"/>
      <c r="I6" s="37"/>
      <c r="J6" s="37"/>
      <c r="K6" s="41"/>
    </row>
    <row r="7" spans="1:18" x14ac:dyDescent="0.25">
      <c r="A7" s="7" t="s">
        <v>27</v>
      </c>
      <c r="B7" s="42" t="s">
        <v>28</v>
      </c>
      <c r="C7" s="8"/>
      <c r="D7" s="8"/>
      <c r="E7" s="8"/>
      <c r="F7" s="46">
        <v>36560.39</v>
      </c>
      <c r="G7" s="47">
        <v>-366500</v>
      </c>
      <c r="H7" s="46">
        <v>-466100</v>
      </c>
      <c r="I7" s="48">
        <v>-806000</v>
      </c>
      <c r="J7" s="48">
        <v>-387000</v>
      </c>
      <c r="K7" s="49">
        <v>-592000</v>
      </c>
      <c r="M7" s="45" t="s">
        <v>38</v>
      </c>
      <c r="N7" s="2"/>
      <c r="O7" s="2"/>
      <c r="P7" s="2"/>
      <c r="Q7" s="2"/>
      <c r="R7" s="2"/>
    </row>
    <row r="8" spans="1:18" x14ac:dyDescent="0.25">
      <c r="A8" s="40" t="s">
        <v>22</v>
      </c>
      <c r="B8" s="36">
        <v>383</v>
      </c>
      <c r="C8" s="36" t="s">
        <v>30</v>
      </c>
      <c r="D8" s="37"/>
      <c r="E8" s="37"/>
      <c r="F8" s="50">
        <v>191819</v>
      </c>
      <c r="G8" s="54">
        <v>0</v>
      </c>
      <c r="H8" s="54">
        <v>0</v>
      </c>
      <c r="I8" s="55">
        <v>0</v>
      </c>
      <c r="J8" s="55">
        <v>0</v>
      </c>
      <c r="K8" s="56">
        <v>0</v>
      </c>
      <c r="M8" s="30" t="s">
        <v>39</v>
      </c>
    </row>
    <row r="9" spans="1:18" x14ac:dyDescent="0.25">
      <c r="A9" s="40"/>
      <c r="B9" s="36">
        <v>387</v>
      </c>
      <c r="C9" s="36" t="s">
        <v>29</v>
      </c>
      <c r="D9" s="37"/>
      <c r="E9" s="37"/>
      <c r="F9" s="54">
        <v>0</v>
      </c>
      <c r="G9" s="54">
        <v>0</v>
      </c>
      <c r="H9" s="54">
        <v>0</v>
      </c>
      <c r="I9" s="55">
        <v>0</v>
      </c>
      <c r="J9" s="55">
        <v>0</v>
      </c>
      <c r="K9" s="56">
        <v>0</v>
      </c>
      <c r="M9" s="2"/>
    </row>
    <row r="10" spans="1:18" x14ac:dyDescent="0.25">
      <c r="A10" s="40"/>
      <c r="B10" s="36">
        <v>389</v>
      </c>
      <c r="C10" s="36" t="s">
        <v>25</v>
      </c>
      <c r="D10" s="37"/>
      <c r="E10" s="37"/>
      <c r="F10" s="50">
        <v>337585.46</v>
      </c>
      <c r="G10" s="54">
        <v>0</v>
      </c>
      <c r="H10" s="54">
        <v>0</v>
      </c>
      <c r="I10" s="55">
        <v>0</v>
      </c>
      <c r="J10" s="55">
        <v>0</v>
      </c>
      <c r="K10" s="56">
        <v>0</v>
      </c>
      <c r="M10" s="2"/>
    </row>
    <row r="11" spans="1:18" x14ac:dyDescent="0.25">
      <c r="A11" s="43" t="s">
        <v>23</v>
      </c>
      <c r="B11" s="44">
        <v>489</v>
      </c>
      <c r="C11" s="36" t="s">
        <v>26</v>
      </c>
      <c r="D11" s="39"/>
      <c r="E11" s="39"/>
      <c r="F11" s="54">
        <v>0</v>
      </c>
      <c r="G11" s="54">
        <v>0</v>
      </c>
      <c r="H11" s="54">
        <v>0</v>
      </c>
      <c r="I11" s="55">
        <v>0</v>
      </c>
      <c r="J11" s="55">
        <v>0</v>
      </c>
      <c r="K11" s="56">
        <v>0</v>
      </c>
      <c r="M11" s="2"/>
    </row>
    <row r="12" spans="1:18" x14ac:dyDescent="0.25">
      <c r="A12" s="7" t="s">
        <v>3</v>
      </c>
      <c r="B12" s="8"/>
      <c r="C12" s="36"/>
      <c r="D12" s="8"/>
      <c r="E12" s="8"/>
      <c r="F12" s="57">
        <f t="shared" ref="F12:K12" si="0">SUM(F7:F11)</f>
        <v>565964.85000000009</v>
      </c>
      <c r="G12" s="58">
        <f t="shared" si="0"/>
        <v>-366500</v>
      </c>
      <c r="H12" s="57">
        <f t="shared" si="0"/>
        <v>-466100</v>
      </c>
      <c r="I12" s="57">
        <f t="shared" si="0"/>
        <v>-806000</v>
      </c>
      <c r="J12" s="57">
        <f t="shared" si="0"/>
        <v>-387000</v>
      </c>
      <c r="K12" s="59">
        <f t="shared" si="0"/>
        <v>-592000</v>
      </c>
      <c r="M12" s="2"/>
    </row>
    <row r="13" spans="1:18" x14ac:dyDescent="0.25">
      <c r="A13" s="40"/>
      <c r="B13" s="37"/>
      <c r="C13" s="36"/>
      <c r="D13" s="37"/>
      <c r="E13" s="37"/>
      <c r="F13" s="60"/>
      <c r="G13" s="61"/>
      <c r="H13" s="60"/>
      <c r="I13" s="60"/>
      <c r="J13" s="60"/>
      <c r="K13" s="62"/>
    </row>
    <row r="14" spans="1:18" ht="17.25" x14ac:dyDescent="0.25">
      <c r="A14" s="12" t="s">
        <v>20</v>
      </c>
      <c r="B14" s="36">
        <v>40</v>
      </c>
      <c r="C14" s="36" t="s">
        <v>20</v>
      </c>
      <c r="D14" s="13"/>
      <c r="E14" s="8"/>
      <c r="F14" s="46">
        <v>-18081754.75</v>
      </c>
      <c r="G14" s="47">
        <v>-18006000</v>
      </c>
      <c r="H14" s="46">
        <v>-19170500</v>
      </c>
      <c r="I14" s="48">
        <v>-19211000</v>
      </c>
      <c r="J14" s="48">
        <v>-19511000</v>
      </c>
      <c r="K14" s="49">
        <v>-19815000</v>
      </c>
      <c r="L14" s="19"/>
    </row>
    <row r="15" spans="1:18" x14ac:dyDescent="0.25">
      <c r="A15" s="43"/>
      <c r="B15" s="39"/>
      <c r="C15" s="36"/>
      <c r="D15" s="39"/>
      <c r="E15" s="37"/>
      <c r="F15" s="60"/>
      <c r="G15" s="61"/>
      <c r="H15" s="60"/>
      <c r="I15" s="60"/>
      <c r="J15" s="60"/>
      <c r="K15" s="62"/>
    </row>
    <row r="16" spans="1:18" x14ac:dyDescent="0.25">
      <c r="A16" s="12" t="s">
        <v>54</v>
      </c>
      <c r="B16" s="13"/>
      <c r="C16" s="36"/>
      <c r="D16" s="13"/>
      <c r="E16" s="8"/>
      <c r="F16" s="63">
        <v>10518594.51</v>
      </c>
      <c r="G16" s="64">
        <f>F16-G12-G25-G28+G22</f>
        <v>12875794.51</v>
      </c>
      <c r="H16" s="64">
        <f t="shared" ref="H16:K16" si="1">G16-H12-H25-H28+H22</f>
        <v>16060794.51</v>
      </c>
      <c r="I16" s="64">
        <f t="shared" si="1"/>
        <v>19554794.509999998</v>
      </c>
      <c r="J16" s="64">
        <f t="shared" si="1"/>
        <v>21907794.509999998</v>
      </c>
      <c r="K16" s="100">
        <f t="shared" si="1"/>
        <v>24028794.509999998</v>
      </c>
      <c r="M16" s="29" t="s">
        <v>21</v>
      </c>
    </row>
    <row r="17" spans="1:11" s="98" customFormat="1" x14ac:dyDescent="0.25">
      <c r="A17" s="12"/>
      <c r="B17" s="13"/>
      <c r="C17" s="44"/>
      <c r="D17" s="13"/>
      <c r="E17" s="13"/>
      <c r="F17" s="103"/>
      <c r="G17" s="104"/>
      <c r="H17" s="104"/>
      <c r="I17" s="104"/>
      <c r="J17" s="104"/>
      <c r="K17" s="114"/>
    </row>
    <row r="18" spans="1:11" x14ac:dyDescent="0.25">
      <c r="A18" s="12" t="s">
        <v>7</v>
      </c>
      <c r="B18" s="13"/>
      <c r="C18" s="36"/>
      <c r="D18" s="13"/>
      <c r="E18" s="8"/>
      <c r="F18" s="128">
        <f>-1/F14*F16</f>
        <v>0.58172421069918556</v>
      </c>
      <c r="G18" s="128">
        <f t="shared" ref="G18:K18" si="2">-1/G14*G16</f>
        <v>0.71508355603687657</v>
      </c>
      <c r="H18" s="128">
        <f t="shared" si="2"/>
        <v>0.83778693878615584</v>
      </c>
      <c r="I18" s="128">
        <f t="shared" si="2"/>
        <v>1.0178957113112279</v>
      </c>
      <c r="J18" s="128">
        <f t="shared" si="2"/>
        <v>1.1228432427861206</v>
      </c>
      <c r="K18" s="131">
        <f t="shared" si="2"/>
        <v>1.2126568009084027</v>
      </c>
    </row>
    <row r="19" spans="1:11" x14ac:dyDescent="0.25">
      <c r="A19" s="134" t="s">
        <v>62</v>
      </c>
      <c r="B19" s="14"/>
      <c r="C19" s="38"/>
      <c r="D19" s="14"/>
      <c r="E19" s="10"/>
      <c r="F19" s="65" t="str">
        <f>IF(F18&lt;100%,"gut", IF(F18&gt;150%,"schlecht","genügend"))</f>
        <v>gut</v>
      </c>
      <c r="G19" s="65" t="str">
        <f t="shared" ref="G19:K19" si="3">IF(G18&lt;100%,"gut", IF(G18&gt;150%,"schlecht","genügend"))</f>
        <v>gut</v>
      </c>
      <c r="H19" s="65" t="str">
        <f t="shared" si="3"/>
        <v>gut</v>
      </c>
      <c r="I19" s="65" t="str">
        <f t="shared" si="3"/>
        <v>genügend</v>
      </c>
      <c r="J19" s="65" t="str">
        <f t="shared" si="3"/>
        <v>genügend</v>
      </c>
      <c r="K19" s="66" t="str">
        <f t="shared" si="3"/>
        <v>genügend</v>
      </c>
    </row>
    <row r="20" spans="1:11" x14ac:dyDescent="0.25">
      <c r="A20" s="13"/>
      <c r="B20" s="13"/>
      <c r="C20" s="36"/>
      <c r="D20" s="13"/>
      <c r="E20" s="8"/>
      <c r="F20" s="128"/>
      <c r="G20" s="128"/>
      <c r="H20" s="128"/>
      <c r="I20" s="128"/>
      <c r="J20" s="128"/>
      <c r="K20" s="128"/>
    </row>
    <row r="21" spans="1:11" x14ac:dyDescent="0.25">
      <c r="F21" s="67"/>
      <c r="G21" s="68"/>
      <c r="H21" s="67"/>
      <c r="I21" s="67"/>
      <c r="J21" s="67"/>
      <c r="K21" s="67"/>
    </row>
    <row r="22" spans="1:11" x14ac:dyDescent="0.25">
      <c r="A22" s="32" t="s">
        <v>5</v>
      </c>
      <c r="B22" s="27"/>
      <c r="C22" s="28"/>
      <c r="D22" s="28"/>
      <c r="E22" s="28"/>
      <c r="F22" s="69">
        <v>1135233.3</v>
      </c>
      <c r="G22" s="70">
        <v>3549000</v>
      </c>
      <c r="H22" s="69">
        <v>4272000</v>
      </c>
      <c r="I22" s="71">
        <v>4700000</v>
      </c>
      <c r="J22" s="71">
        <v>4090000</v>
      </c>
      <c r="K22" s="72">
        <v>3750000</v>
      </c>
    </row>
    <row r="23" spans="1:11" x14ac:dyDescent="0.25">
      <c r="A23" s="33" t="s">
        <v>6</v>
      </c>
      <c r="B23" s="27">
        <v>33</v>
      </c>
      <c r="C23" s="28" t="s">
        <v>31</v>
      </c>
      <c r="D23" s="28"/>
      <c r="E23" s="28"/>
      <c r="F23" s="69">
        <v>1806330.92</v>
      </c>
      <c r="G23" s="70">
        <v>2011300</v>
      </c>
      <c r="H23" s="69">
        <v>1758500</v>
      </c>
      <c r="I23" s="71">
        <v>2042000</v>
      </c>
      <c r="J23" s="71">
        <v>2154000</v>
      </c>
      <c r="K23" s="72">
        <v>2251000</v>
      </c>
    </row>
    <row r="24" spans="1:11" x14ac:dyDescent="0.25">
      <c r="A24" s="34"/>
      <c r="B24" s="25">
        <v>366</v>
      </c>
      <c r="C24" s="18" t="s">
        <v>32</v>
      </c>
      <c r="D24" s="18"/>
      <c r="E24" s="18"/>
      <c r="F24" s="73">
        <v>0</v>
      </c>
      <c r="G24" s="74">
        <v>0</v>
      </c>
      <c r="H24" s="73">
        <v>0</v>
      </c>
      <c r="I24" s="75">
        <v>0</v>
      </c>
      <c r="J24" s="75">
        <v>0</v>
      </c>
      <c r="K24" s="76">
        <v>0</v>
      </c>
    </row>
    <row r="25" spans="1:11" x14ac:dyDescent="0.25">
      <c r="A25" s="16"/>
      <c r="B25" s="26" t="s">
        <v>10</v>
      </c>
      <c r="C25" s="23"/>
      <c r="D25" s="23"/>
      <c r="E25" s="23"/>
      <c r="F25" s="77">
        <f>F23+F24</f>
        <v>1806330.92</v>
      </c>
      <c r="G25" s="78">
        <f t="shared" ref="G25:K25" si="4">G23+G24</f>
        <v>2011300</v>
      </c>
      <c r="H25" s="77">
        <f t="shared" si="4"/>
        <v>1758500</v>
      </c>
      <c r="I25" s="77">
        <f>I23+I24</f>
        <v>2042000</v>
      </c>
      <c r="J25" s="77">
        <f t="shared" si="4"/>
        <v>2154000</v>
      </c>
      <c r="K25" s="79">
        <f t="shared" si="4"/>
        <v>2251000</v>
      </c>
    </row>
    <row r="26" spans="1:11" x14ac:dyDescent="0.25">
      <c r="A26" s="33" t="s">
        <v>18</v>
      </c>
      <c r="B26" s="25">
        <v>35</v>
      </c>
      <c r="C26" s="31" t="s">
        <v>33</v>
      </c>
      <c r="D26" s="18"/>
      <c r="E26" s="18"/>
      <c r="F26" s="73">
        <v>53137.27</v>
      </c>
      <c r="G26" s="74">
        <v>4300</v>
      </c>
      <c r="H26" s="73">
        <v>46800</v>
      </c>
      <c r="I26" s="75">
        <v>50000</v>
      </c>
      <c r="J26" s="75">
        <v>50000</v>
      </c>
      <c r="K26" s="76">
        <v>50000</v>
      </c>
    </row>
    <row r="27" spans="1:11" x14ac:dyDescent="0.25">
      <c r="A27" s="15"/>
      <c r="B27" s="25">
        <v>45</v>
      </c>
      <c r="C27" s="31" t="s">
        <v>34</v>
      </c>
      <c r="D27" s="18"/>
      <c r="E27" s="18"/>
      <c r="F27" s="73">
        <v>-206765.11</v>
      </c>
      <c r="G27" s="74">
        <v>-457300</v>
      </c>
      <c r="H27" s="73">
        <v>-252200</v>
      </c>
      <c r="I27" s="75">
        <v>-80000</v>
      </c>
      <c r="J27" s="75">
        <v>-80000</v>
      </c>
      <c r="K27" s="76">
        <v>-80000</v>
      </c>
    </row>
    <row r="28" spans="1:11" x14ac:dyDescent="0.25">
      <c r="A28" s="16"/>
      <c r="B28" s="26" t="s">
        <v>11</v>
      </c>
      <c r="C28" s="23"/>
      <c r="D28" s="23"/>
      <c r="E28" s="23"/>
      <c r="F28" s="77">
        <f>F26+F27</f>
        <v>-153627.84</v>
      </c>
      <c r="G28" s="78">
        <f t="shared" ref="G28:K28" si="5">G26+G27</f>
        <v>-453000</v>
      </c>
      <c r="H28" s="77">
        <f t="shared" si="5"/>
        <v>-205400</v>
      </c>
      <c r="I28" s="77">
        <f t="shared" si="5"/>
        <v>-30000</v>
      </c>
      <c r="J28" s="77">
        <f t="shared" si="5"/>
        <v>-30000</v>
      </c>
      <c r="K28" s="79">
        <f t="shared" si="5"/>
        <v>-30000</v>
      </c>
    </row>
    <row r="29" spans="1:11" x14ac:dyDescent="0.25">
      <c r="A29" s="18"/>
      <c r="B29" s="5"/>
      <c r="C29" s="5"/>
      <c r="D29" s="5"/>
      <c r="E29" s="5"/>
      <c r="F29" s="17"/>
      <c r="G29" s="17"/>
      <c r="H29" s="17"/>
      <c r="I29" s="17"/>
      <c r="J29" s="17"/>
      <c r="K29" s="17"/>
    </row>
    <row r="31" spans="1:11" x14ac:dyDescent="0.25">
      <c r="A31" s="20"/>
    </row>
    <row r="32" spans="1:11" x14ac:dyDescent="0.25">
      <c r="A32" s="20"/>
    </row>
    <row r="33" spans="3:11" x14ac:dyDescent="0.25">
      <c r="F33" s="88"/>
      <c r="H33" s="88"/>
      <c r="I33" s="94"/>
      <c r="J33" s="95" t="s">
        <v>49</v>
      </c>
      <c r="K33" s="94"/>
    </row>
    <row r="34" spans="3:11" x14ac:dyDescent="0.25">
      <c r="F34" s="88"/>
      <c r="H34" s="88"/>
      <c r="I34" s="88"/>
      <c r="J34" s="88"/>
      <c r="K34" s="88"/>
    </row>
    <row r="35" spans="3:11" x14ac:dyDescent="0.25">
      <c r="C35" s="8" t="s">
        <v>57</v>
      </c>
      <c r="F35" s="89"/>
      <c r="H35" s="89"/>
      <c r="I35" s="96">
        <f>IF(H43&gt;0,Grundeinstellungen!$Y$17*H43+Grundeinstellungen!$AC$17,10)</f>
        <v>2.1806552379958788</v>
      </c>
      <c r="J35" s="96">
        <f>IF(I43&gt;0,Grundeinstellungen!$Y$17*I43+Grundeinstellungen!$AC$17,10)</f>
        <v>0.68769341770168246</v>
      </c>
      <c r="K35" s="96">
        <f>IF(J43&gt;0,Grundeinstellungen!$Y$17*J43+Grundeinstellungen!$AC$17,10)</f>
        <v>-0.17376675403578545</v>
      </c>
    </row>
    <row r="36" spans="3:11" x14ac:dyDescent="0.25">
      <c r="C36" s="90" t="s">
        <v>50</v>
      </c>
      <c r="F36" s="89"/>
      <c r="H36" s="89"/>
      <c r="I36" s="88"/>
      <c r="J36" s="88"/>
      <c r="K36" s="88"/>
    </row>
    <row r="37" spans="3:11" x14ac:dyDescent="0.25">
      <c r="F37" s="88"/>
      <c r="H37" s="88"/>
      <c r="I37" s="88"/>
      <c r="J37" s="88"/>
      <c r="K37" s="88"/>
    </row>
    <row r="38" spans="3:11" x14ac:dyDescent="0.25">
      <c r="C38" s="8" t="s">
        <v>58</v>
      </c>
      <c r="F38" s="91"/>
      <c r="H38" s="91"/>
      <c r="I38" s="92">
        <f>I35*I14/100</f>
        <v>-418925.67777138832</v>
      </c>
      <c r="J38" s="92">
        <f>J35*J14/100</f>
        <v>-134175.86272777527</v>
      </c>
      <c r="K38" s="92">
        <f t="shared" ref="K38" si="6">K35*K14/100</f>
        <v>34431.882312190886</v>
      </c>
    </row>
    <row r="39" spans="3:11" x14ac:dyDescent="0.25">
      <c r="C39" s="90" t="s">
        <v>53</v>
      </c>
      <c r="I39" s="99">
        <f>I12-I38</f>
        <v>-387074.32222861168</v>
      </c>
      <c r="J39" s="99">
        <f t="shared" ref="J39:K39" si="7">J12-J38</f>
        <v>-252824.13727222473</v>
      </c>
      <c r="K39" s="99">
        <f t="shared" si="7"/>
        <v>-626431.88231219084</v>
      </c>
    </row>
    <row r="40" spans="3:11" x14ac:dyDescent="0.25">
      <c r="C40" s="8"/>
      <c r="F40" s="91"/>
      <c r="H40" s="91"/>
      <c r="I40" s="88"/>
      <c r="J40" s="88"/>
      <c r="K40" s="88"/>
    </row>
    <row r="41" spans="3:11" x14ac:dyDescent="0.25">
      <c r="C41" s="8" t="s">
        <v>51</v>
      </c>
      <c r="F41" s="91"/>
      <c r="H41" s="92">
        <f>H16</f>
        <v>16060794.51</v>
      </c>
      <c r="I41" s="92">
        <f>H41+I22-I25-I28-I12+I39</f>
        <v>19167720.187771387</v>
      </c>
      <c r="J41" s="92">
        <f t="shared" ref="J41:K41" si="8">I41+J22-J25-J28-J12+J39</f>
        <v>21267896.050499164</v>
      </c>
      <c r="K41" s="92">
        <f t="shared" si="8"/>
        <v>22762464.168186974</v>
      </c>
    </row>
    <row r="42" spans="3:11" x14ac:dyDescent="0.25">
      <c r="C42" s="8"/>
      <c r="F42" s="88"/>
      <c r="H42" s="88"/>
      <c r="I42" s="97"/>
      <c r="J42" s="97"/>
      <c r="K42" s="97"/>
    </row>
    <row r="43" spans="3:11" x14ac:dyDescent="0.25">
      <c r="C43" s="8" t="s">
        <v>63</v>
      </c>
      <c r="F43" s="88"/>
      <c r="H43" s="93">
        <f>-H41/H14*100</f>
        <v>83.778693878615584</v>
      </c>
      <c r="I43" s="96">
        <f>-I41/I14*100</f>
        <v>99.774713381767683</v>
      </c>
      <c r="J43" s="96">
        <f t="shared" ref="J43:K43" si="9">-J41/J14*100</f>
        <v>109.00464379324055</v>
      </c>
      <c r="K43" s="96">
        <f t="shared" si="9"/>
        <v>114.87491379352497</v>
      </c>
    </row>
    <row r="44" spans="3:11" x14ac:dyDescent="0.25">
      <c r="C44" s="135" t="s">
        <v>62</v>
      </c>
      <c r="D44" s="9"/>
      <c r="E44" s="9"/>
      <c r="F44" s="9"/>
      <c r="H44" s="136" t="str">
        <f>IF(H43&lt;100,"gut", IF(H43&gt;150,"schlecht","genügend"))</f>
        <v>gut</v>
      </c>
      <c r="I44" s="136" t="str">
        <f t="shared" ref="I44:J44" si="10">IF(I43&lt;100,"gut", IF(I43&gt;150,"schlecht","genügend"))</f>
        <v>gut</v>
      </c>
      <c r="J44" s="136" t="str">
        <f t="shared" si="10"/>
        <v>genügend</v>
      </c>
      <c r="K44" s="136" t="str">
        <f>IF(K43&lt;100,"gut", IF(K43&gt;150,"schlecht","genügend"))</f>
        <v>genügend</v>
      </c>
    </row>
    <row r="46" spans="3:11" x14ac:dyDescent="0.25">
      <c r="C46" s="8" t="s">
        <v>77</v>
      </c>
      <c r="E46" s="5"/>
      <c r="F46" s="92">
        <f>-1.5*F14</f>
        <v>27122632.125</v>
      </c>
      <c r="G46" s="92">
        <f t="shared" ref="G46:K46" si="11">-1.5*G14</f>
        <v>27009000</v>
      </c>
      <c r="H46" s="92">
        <f t="shared" si="11"/>
        <v>28755750</v>
      </c>
      <c r="I46" s="92">
        <f t="shared" si="11"/>
        <v>28816500</v>
      </c>
      <c r="J46" s="92">
        <f t="shared" si="11"/>
        <v>29266500</v>
      </c>
      <c r="K46" s="92">
        <f t="shared" si="11"/>
        <v>29722500</v>
      </c>
    </row>
    <row r="47" spans="3:11" x14ac:dyDescent="0.25">
      <c r="C47" s="90" t="s">
        <v>52</v>
      </c>
      <c r="F47" s="99">
        <f t="shared" ref="F47:K47" si="12">F46-F16</f>
        <v>16604037.615</v>
      </c>
      <c r="G47" s="99">
        <f t="shared" si="12"/>
        <v>14133205.49</v>
      </c>
      <c r="H47" s="99">
        <f t="shared" si="12"/>
        <v>12694955.49</v>
      </c>
      <c r="I47" s="99">
        <f t="shared" si="12"/>
        <v>9261705.4900000021</v>
      </c>
      <c r="J47" s="99">
        <f t="shared" si="12"/>
        <v>7358705.4900000021</v>
      </c>
      <c r="K47" s="99">
        <f t="shared" si="12"/>
        <v>5693705.4900000021</v>
      </c>
    </row>
  </sheetData>
  <pageMargins left="0.70866141732283472" right="0.70866141732283472" top="0.78740157480314965" bottom="0.78740157480314965" header="0.31496062992125984" footer="0.31496062992125984"/>
  <pageSetup paperSize="8" scale="76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C486A6C-0418-41BF-8342-2262B241503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0"/>
              <x14:cfIcon iconSet="NoIcons" iconId="0"/>
              <x14:cfIcon iconSet="3Symbols" iconId="2"/>
            </x14:iconSet>
          </x14:cfRule>
          <xm:sqref>F47:K47 I39:K39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opLeftCell="E1" zoomScaleNormal="100" workbookViewId="0">
      <pane ySplit="5" topLeftCell="A10" activePane="bottomLeft" state="frozen"/>
      <selection activeCell="C35" sqref="C35"/>
      <selection pane="bottomLeft" activeCell="I34" sqref="I34"/>
    </sheetView>
  </sheetViews>
  <sheetFormatPr baseColWidth="10" defaultRowHeight="15" x14ac:dyDescent="0.25"/>
  <cols>
    <col min="1" max="1" width="37.140625" customWidth="1"/>
    <col min="2" max="2" width="7.28515625" customWidth="1"/>
    <col min="3" max="3" width="26" bestFit="1" customWidth="1"/>
    <col min="5" max="5" width="23.85546875" customWidth="1"/>
    <col min="6" max="6" width="15.85546875" customWidth="1"/>
    <col min="7" max="11" width="18.5703125" customWidth="1"/>
    <col min="13" max="13" width="27" bestFit="1" customWidth="1"/>
  </cols>
  <sheetData>
    <row r="1" spans="1:18" ht="21" x14ac:dyDescent="0.35">
      <c r="A1" s="1" t="s">
        <v>4</v>
      </c>
      <c r="J1" s="22" t="s">
        <v>24</v>
      </c>
      <c r="K1" s="22" t="s">
        <v>13</v>
      </c>
    </row>
    <row r="4" spans="1:18" ht="15.75" x14ac:dyDescent="0.25">
      <c r="A4" s="11" t="s">
        <v>8</v>
      </c>
      <c r="B4" s="24"/>
      <c r="C4" s="35"/>
      <c r="D4" s="35"/>
      <c r="E4" s="35"/>
      <c r="F4" s="3">
        <v>2018</v>
      </c>
      <c r="G4" s="3">
        <v>2019</v>
      </c>
      <c r="H4" s="3">
        <v>2020</v>
      </c>
      <c r="I4" s="3">
        <v>2021</v>
      </c>
      <c r="J4" s="3">
        <v>2022</v>
      </c>
      <c r="K4" s="4">
        <v>2023</v>
      </c>
    </row>
    <row r="5" spans="1:18" x14ac:dyDescent="0.25">
      <c r="A5" s="40"/>
      <c r="B5" s="37"/>
      <c r="C5" s="37"/>
      <c r="D5" s="37"/>
      <c r="E5" s="37"/>
      <c r="F5" s="129" t="s">
        <v>0</v>
      </c>
      <c r="G5" s="129" t="s">
        <v>1</v>
      </c>
      <c r="H5" s="129" t="s">
        <v>1</v>
      </c>
      <c r="I5" s="129" t="s">
        <v>2</v>
      </c>
      <c r="J5" s="129" t="s">
        <v>2</v>
      </c>
      <c r="K5" s="130" t="s">
        <v>2</v>
      </c>
      <c r="M5" s="82" t="s">
        <v>44</v>
      </c>
    </row>
    <row r="6" spans="1:18" x14ac:dyDescent="0.25">
      <c r="A6" s="40"/>
      <c r="B6" s="37"/>
      <c r="C6" s="37"/>
      <c r="D6" s="37"/>
      <c r="E6" s="37"/>
      <c r="F6" s="37"/>
      <c r="G6" s="21"/>
      <c r="H6" s="37"/>
      <c r="I6" s="37"/>
      <c r="J6" s="37"/>
      <c r="K6" s="41"/>
    </row>
    <row r="7" spans="1:18" x14ac:dyDescent="0.25">
      <c r="A7" s="7" t="s">
        <v>27</v>
      </c>
      <c r="B7" s="42" t="s">
        <v>28</v>
      </c>
      <c r="C7" s="8"/>
      <c r="D7" s="8"/>
      <c r="E7" s="8"/>
      <c r="F7" s="46">
        <v>787783.09</v>
      </c>
      <c r="G7" s="47">
        <v>12100</v>
      </c>
      <c r="H7" s="46">
        <v>294500</v>
      </c>
      <c r="I7" s="48">
        <v>60900</v>
      </c>
      <c r="J7" s="48">
        <v>291800</v>
      </c>
      <c r="K7" s="49">
        <v>508100</v>
      </c>
      <c r="M7" s="45" t="s">
        <v>38</v>
      </c>
      <c r="N7" s="2"/>
      <c r="O7" s="2"/>
      <c r="P7" s="2"/>
      <c r="Q7" s="2"/>
      <c r="R7" s="2"/>
    </row>
    <row r="8" spans="1:18" x14ac:dyDescent="0.25">
      <c r="A8" s="40" t="s">
        <v>22</v>
      </c>
      <c r="B8" s="36">
        <v>383</v>
      </c>
      <c r="C8" s="36" t="s">
        <v>30</v>
      </c>
      <c r="D8" s="37"/>
      <c r="E8" s="37"/>
      <c r="F8" s="54">
        <v>0</v>
      </c>
      <c r="G8" s="54">
        <v>0</v>
      </c>
      <c r="H8" s="54">
        <v>0</v>
      </c>
      <c r="I8" s="55">
        <v>0</v>
      </c>
      <c r="J8" s="55">
        <v>0</v>
      </c>
      <c r="K8" s="56">
        <v>0</v>
      </c>
      <c r="M8" s="30" t="s">
        <v>64</v>
      </c>
    </row>
    <row r="9" spans="1:18" x14ac:dyDescent="0.25">
      <c r="A9" s="40"/>
      <c r="B9" s="36">
        <v>387</v>
      </c>
      <c r="C9" s="36" t="s">
        <v>29</v>
      </c>
      <c r="D9" s="37"/>
      <c r="E9" s="37"/>
      <c r="F9" s="50">
        <v>436879.54</v>
      </c>
      <c r="G9" s="54">
        <v>0</v>
      </c>
      <c r="H9" s="54">
        <v>0</v>
      </c>
      <c r="I9" s="55">
        <v>0</v>
      </c>
      <c r="J9" s="55">
        <v>0</v>
      </c>
      <c r="K9" s="56">
        <v>0</v>
      </c>
      <c r="M9" s="2"/>
    </row>
    <row r="10" spans="1:18" x14ac:dyDescent="0.25">
      <c r="A10" s="40"/>
      <c r="B10" s="36">
        <v>389</v>
      </c>
      <c r="C10" s="36" t="s">
        <v>25</v>
      </c>
      <c r="D10" s="37"/>
      <c r="E10" s="37"/>
      <c r="F10" s="50">
        <v>200000</v>
      </c>
      <c r="G10" s="50">
        <v>81500</v>
      </c>
      <c r="H10" s="50">
        <v>191600</v>
      </c>
      <c r="I10" s="52">
        <v>191700</v>
      </c>
      <c r="J10" s="55">
        <v>68000</v>
      </c>
      <c r="K10" s="56">
        <v>0</v>
      </c>
      <c r="M10" s="2"/>
    </row>
    <row r="11" spans="1:18" x14ac:dyDescent="0.25">
      <c r="A11" s="43" t="s">
        <v>23</v>
      </c>
      <c r="B11" s="44">
        <v>489</v>
      </c>
      <c r="C11" s="36" t="s">
        <v>26</v>
      </c>
      <c r="D11" s="39"/>
      <c r="E11" s="39"/>
      <c r="F11" s="54">
        <v>0</v>
      </c>
      <c r="G11" s="54">
        <v>0</v>
      </c>
      <c r="H11" s="54">
        <v>0</v>
      </c>
      <c r="I11" s="55">
        <v>0</v>
      </c>
      <c r="J11" s="52">
        <v>0</v>
      </c>
      <c r="K11" s="53">
        <v>-108200</v>
      </c>
      <c r="M11" s="2"/>
    </row>
    <row r="12" spans="1:18" x14ac:dyDescent="0.25">
      <c r="A12" s="7" t="s">
        <v>3</v>
      </c>
      <c r="B12" s="8"/>
      <c r="C12" s="36"/>
      <c r="D12" s="8"/>
      <c r="E12" s="8"/>
      <c r="F12" s="57">
        <f t="shared" ref="F12:K12" si="0">SUM(F7:F11)</f>
        <v>1424662.63</v>
      </c>
      <c r="G12" s="58">
        <f t="shared" si="0"/>
        <v>93600</v>
      </c>
      <c r="H12" s="57">
        <f t="shared" si="0"/>
        <v>486100</v>
      </c>
      <c r="I12" s="57">
        <f t="shared" si="0"/>
        <v>252600</v>
      </c>
      <c r="J12" s="57">
        <f t="shared" si="0"/>
        <v>359800</v>
      </c>
      <c r="K12" s="59">
        <f t="shared" si="0"/>
        <v>399900</v>
      </c>
      <c r="M12" s="2"/>
    </row>
    <row r="13" spans="1:18" x14ac:dyDescent="0.25">
      <c r="A13" s="40"/>
      <c r="B13" s="37"/>
      <c r="C13" s="36"/>
      <c r="D13" s="37"/>
      <c r="E13" s="37"/>
      <c r="F13" s="60"/>
      <c r="G13" s="61"/>
      <c r="H13" s="60"/>
      <c r="I13" s="60"/>
      <c r="J13" s="60"/>
      <c r="K13" s="62"/>
    </row>
    <row r="14" spans="1:18" ht="17.25" x14ac:dyDescent="0.25">
      <c r="A14" s="12" t="s">
        <v>20</v>
      </c>
      <c r="B14" s="36">
        <v>40</v>
      </c>
      <c r="C14" s="36" t="s">
        <v>20</v>
      </c>
      <c r="D14" s="13"/>
      <c r="E14" s="8"/>
      <c r="F14" s="46">
        <v>-9055180</v>
      </c>
      <c r="G14" s="47">
        <v>-9183000</v>
      </c>
      <c r="H14" s="46">
        <v>-9154000</v>
      </c>
      <c r="I14" s="48">
        <v>-9280600</v>
      </c>
      <c r="J14" s="48">
        <v>-9408900</v>
      </c>
      <c r="K14" s="49">
        <v>-9539200</v>
      </c>
      <c r="L14" s="19"/>
    </row>
    <row r="15" spans="1:18" x14ac:dyDescent="0.25">
      <c r="A15" s="43"/>
      <c r="B15" s="39"/>
      <c r="C15" s="36"/>
      <c r="D15" s="39"/>
      <c r="E15" s="37"/>
      <c r="F15" s="60"/>
      <c r="G15" s="61"/>
      <c r="H15" s="60"/>
      <c r="I15" s="60"/>
      <c r="J15" s="60"/>
      <c r="K15" s="62"/>
    </row>
    <row r="16" spans="1:18" x14ac:dyDescent="0.25">
      <c r="A16" s="12" t="s">
        <v>54</v>
      </c>
      <c r="B16" s="13"/>
      <c r="C16" s="36"/>
      <c r="D16" s="13"/>
      <c r="E16" s="8"/>
      <c r="F16" s="63">
        <v>8060165.5</v>
      </c>
      <c r="G16" s="64">
        <f>F16-G12-G24-G27+G21</f>
        <v>7535365.5</v>
      </c>
      <c r="H16" s="64">
        <f>G16-H12-H24-H27+H21</f>
        <v>7904065.5</v>
      </c>
      <c r="I16" s="64">
        <f>H16-I12-I24-I27+I21</f>
        <v>7414565.5</v>
      </c>
      <c r="J16" s="64">
        <f>I16-J12-J24-J27+J21</f>
        <v>7033865.5</v>
      </c>
      <c r="K16" s="100">
        <f>J16-K12-K24-K27+K21</f>
        <v>6036365.5</v>
      </c>
      <c r="M16" s="29" t="s">
        <v>21</v>
      </c>
    </row>
    <row r="17" spans="1:11" s="98" customFormat="1" x14ac:dyDescent="0.25">
      <c r="A17" s="12"/>
      <c r="B17" s="13"/>
      <c r="C17" s="44"/>
      <c r="D17" s="13"/>
      <c r="E17" s="13"/>
      <c r="F17" s="103"/>
      <c r="G17" s="104"/>
      <c r="H17" s="104"/>
      <c r="I17" s="104"/>
      <c r="J17" s="104"/>
      <c r="K17" s="114"/>
    </row>
    <row r="18" spans="1:11" x14ac:dyDescent="0.25">
      <c r="A18" s="12" t="s">
        <v>7</v>
      </c>
      <c r="B18" s="13"/>
      <c r="C18" s="36"/>
      <c r="D18" s="13"/>
      <c r="E18" s="8"/>
      <c r="F18" s="128">
        <f>-1/F14*F16</f>
        <v>0.8901165410295544</v>
      </c>
      <c r="G18" s="128">
        <f t="shared" ref="G18:K18" si="1">-1/G14*G16</f>
        <v>0.82057775236850705</v>
      </c>
      <c r="H18" s="128">
        <f t="shared" si="1"/>
        <v>0.86345482849027755</v>
      </c>
      <c r="I18" s="128">
        <f t="shared" si="1"/>
        <v>0.79893169622653704</v>
      </c>
      <c r="J18" s="128">
        <f t="shared" si="1"/>
        <v>0.74757575274474164</v>
      </c>
      <c r="K18" s="131">
        <f t="shared" si="1"/>
        <v>0.6327957795202952</v>
      </c>
    </row>
    <row r="19" spans="1:11" x14ac:dyDescent="0.25">
      <c r="A19" s="134" t="s">
        <v>62</v>
      </c>
      <c r="B19" s="14"/>
      <c r="C19" s="38"/>
      <c r="D19" s="14"/>
      <c r="E19" s="10"/>
      <c r="F19" s="65" t="str">
        <f>IF(F18&lt;100%,"gut", IF(F18&gt;150%,"schlecht","genügend"))</f>
        <v>gut</v>
      </c>
      <c r="G19" s="65" t="str">
        <f t="shared" ref="G19:K19" si="2">IF(G18&lt;100%,"gut", IF(G18&gt;150%,"schlecht","genügend"))</f>
        <v>gut</v>
      </c>
      <c r="H19" s="65" t="str">
        <f t="shared" si="2"/>
        <v>gut</v>
      </c>
      <c r="I19" s="65" t="str">
        <f t="shared" si="2"/>
        <v>gut</v>
      </c>
      <c r="J19" s="65" t="str">
        <f t="shared" si="2"/>
        <v>gut</v>
      </c>
      <c r="K19" s="66" t="str">
        <f t="shared" si="2"/>
        <v>gut</v>
      </c>
    </row>
    <row r="20" spans="1:11" x14ac:dyDescent="0.25">
      <c r="F20" s="67"/>
      <c r="G20" s="68"/>
      <c r="H20" s="67"/>
      <c r="I20" s="67"/>
      <c r="J20" s="67"/>
      <c r="K20" s="67"/>
    </row>
    <row r="21" spans="1:11" x14ac:dyDescent="0.25">
      <c r="A21" s="32" t="s">
        <v>5</v>
      </c>
      <c r="B21" s="27"/>
      <c r="C21" s="28"/>
      <c r="D21" s="28"/>
      <c r="E21" s="28"/>
      <c r="F21" s="69">
        <v>2566657.98</v>
      </c>
      <c r="G21" s="70">
        <v>1068700</v>
      </c>
      <c r="H21" s="69">
        <v>1857900</v>
      </c>
      <c r="I21" s="71">
        <v>853200</v>
      </c>
      <c r="J21" s="71">
        <v>1165600</v>
      </c>
      <c r="K21" s="72">
        <v>660700</v>
      </c>
    </row>
    <row r="22" spans="1:11" x14ac:dyDescent="0.25">
      <c r="A22" s="33" t="s">
        <v>6</v>
      </c>
      <c r="B22" s="27">
        <v>33</v>
      </c>
      <c r="C22" s="28" t="s">
        <v>31</v>
      </c>
      <c r="D22" s="28"/>
      <c r="E22" s="28"/>
      <c r="F22" s="69">
        <v>1087497</v>
      </c>
      <c r="G22" s="70">
        <v>1288100</v>
      </c>
      <c r="H22" s="69">
        <v>961000</v>
      </c>
      <c r="I22" s="71">
        <v>1007000</v>
      </c>
      <c r="J22" s="71">
        <v>974000</v>
      </c>
      <c r="K22" s="72">
        <v>820600</v>
      </c>
    </row>
    <row r="23" spans="1:11" x14ac:dyDescent="0.25">
      <c r="A23" s="34"/>
      <c r="B23" s="25">
        <v>366</v>
      </c>
      <c r="C23" s="18" t="s">
        <v>32</v>
      </c>
      <c r="D23" s="18"/>
      <c r="E23" s="18"/>
      <c r="F23" s="73">
        <v>208971.55</v>
      </c>
      <c r="G23" s="74">
        <v>179600</v>
      </c>
      <c r="H23" s="73">
        <v>89800</v>
      </c>
      <c r="I23" s="75">
        <v>131800</v>
      </c>
      <c r="J23" s="75">
        <v>237200</v>
      </c>
      <c r="K23" s="76">
        <v>417100</v>
      </c>
    </row>
    <row r="24" spans="1:11" x14ac:dyDescent="0.25">
      <c r="A24" s="16"/>
      <c r="B24" s="26" t="s">
        <v>10</v>
      </c>
      <c r="C24" s="23"/>
      <c r="D24" s="23"/>
      <c r="E24" s="23"/>
      <c r="F24" s="77">
        <f>F22+F23</f>
        <v>1296468.55</v>
      </c>
      <c r="G24" s="78">
        <f t="shared" ref="G24:K24" si="3">G22+G23</f>
        <v>1467700</v>
      </c>
      <c r="H24" s="77">
        <f t="shared" si="3"/>
        <v>1050800</v>
      </c>
      <c r="I24" s="77">
        <f>I22+I23</f>
        <v>1138800</v>
      </c>
      <c r="J24" s="77">
        <f t="shared" si="3"/>
        <v>1211200</v>
      </c>
      <c r="K24" s="79">
        <f t="shared" si="3"/>
        <v>1237700</v>
      </c>
    </row>
    <row r="25" spans="1:11" x14ac:dyDescent="0.25">
      <c r="A25" s="33" t="s">
        <v>18</v>
      </c>
      <c r="B25" s="25">
        <v>35</v>
      </c>
      <c r="C25" s="31" t="s">
        <v>33</v>
      </c>
      <c r="D25" s="18"/>
      <c r="E25" s="18"/>
      <c r="F25" s="73">
        <v>34295</v>
      </c>
      <c r="G25" s="74">
        <v>46900</v>
      </c>
      <c r="H25" s="73">
        <v>38400</v>
      </c>
      <c r="I25" s="75">
        <v>38300</v>
      </c>
      <c r="J25" s="75">
        <v>38200</v>
      </c>
      <c r="K25" s="76">
        <v>38200</v>
      </c>
    </row>
    <row r="26" spans="1:11" x14ac:dyDescent="0.25">
      <c r="A26" s="15"/>
      <c r="B26" s="25">
        <v>45</v>
      </c>
      <c r="C26" s="31" t="s">
        <v>34</v>
      </c>
      <c r="D26" s="18"/>
      <c r="E26" s="18"/>
      <c r="F26" s="73">
        <v>-69265</v>
      </c>
      <c r="G26" s="74">
        <v>-14700</v>
      </c>
      <c r="H26" s="73">
        <v>-86100</v>
      </c>
      <c r="I26" s="75">
        <v>-87000</v>
      </c>
      <c r="J26" s="75">
        <v>-62900</v>
      </c>
      <c r="K26" s="76">
        <v>-17600</v>
      </c>
    </row>
    <row r="27" spans="1:11" x14ac:dyDescent="0.25">
      <c r="A27" s="16"/>
      <c r="B27" s="26" t="s">
        <v>11</v>
      </c>
      <c r="C27" s="23"/>
      <c r="D27" s="23"/>
      <c r="E27" s="23"/>
      <c r="F27" s="77">
        <f>F25+F26</f>
        <v>-34970</v>
      </c>
      <c r="G27" s="78">
        <f t="shared" ref="G27:K27" si="4">G25+G26</f>
        <v>32200</v>
      </c>
      <c r="H27" s="77">
        <f t="shared" si="4"/>
        <v>-47700</v>
      </c>
      <c r="I27" s="77">
        <f t="shared" si="4"/>
        <v>-48700</v>
      </c>
      <c r="J27" s="77">
        <f t="shared" si="4"/>
        <v>-24700</v>
      </c>
      <c r="K27" s="79">
        <f t="shared" si="4"/>
        <v>20600</v>
      </c>
    </row>
    <row r="28" spans="1:11" x14ac:dyDescent="0.25">
      <c r="A28" s="18"/>
      <c r="B28" s="5"/>
      <c r="C28" s="5"/>
      <c r="D28" s="5"/>
      <c r="E28" s="5"/>
      <c r="F28" s="17"/>
      <c r="G28" s="17"/>
      <c r="H28" s="17"/>
      <c r="I28" s="17"/>
      <c r="J28" s="17"/>
      <c r="K28" s="17"/>
    </row>
    <row r="30" spans="1:11" x14ac:dyDescent="0.25">
      <c r="A30" s="20"/>
    </row>
    <row r="31" spans="1:11" x14ac:dyDescent="0.25">
      <c r="A31" s="20"/>
    </row>
    <row r="32" spans="1:11" x14ac:dyDescent="0.25">
      <c r="F32" s="88"/>
      <c r="H32" s="88"/>
      <c r="I32" s="94"/>
      <c r="J32" s="95" t="s">
        <v>49</v>
      </c>
      <c r="K32" s="94"/>
    </row>
    <row r="33" spans="3:11" x14ac:dyDescent="0.25">
      <c r="F33" s="88"/>
      <c r="H33" s="88"/>
      <c r="I33" s="88"/>
      <c r="J33" s="88"/>
      <c r="K33" s="88"/>
    </row>
    <row r="34" spans="3:11" x14ac:dyDescent="0.25">
      <c r="C34" s="8" t="s">
        <v>57</v>
      </c>
      <c r="F34" s="89"/>
      <c r="H34" s="89"/>
      <c r="I34" s="96">
        <f>IF(H42&gt;0,Grundeinstellungen!$Y$17*H42+Grundeinstellungen!$AC$17,10)</f>
        <v>1.9410882674240764</v>
      </c>
      <c r="J34" s="96">
        <f>IF(I42&gt;0,Grundeinstellungen!$Y$17*I42+Grundeinstellungen!$AC$17,10)</f>
        <v>2.1081006308175603</v>
      </c>
      <c r="K34" s="96">
        <f>IF(J42&gt;0,Grundeinstellungen!$Y$17*J42+Grundeinstellungen!$AC$17,10)</f>
        <v>2.0396908563881908</v>
      </c>
    </row>
    <row r="35" spans="3:11" x14ac:dyDescent="0.25">
      <c r="C35" s="90" t="s">
        <v>50</v>
      </c>
      <c r="F35" s="89"/>
      <c r="H35" s="89"/>
      <c r="I35" s="88"/>
      <c r="J35" s="88"/>
      <c r="K35" s="88"/>
    </row>
    <row r="36" spans="3:11" x14ac:dyDescent="0.25">
      <c r="F36" s="88"/>
      <c r="H36" s="88"/>
      <c r="I36" s="88"/>
      <c r="J36" s="88"/>
      <c r="K36" s="88"/>
    </row>
    <row r="37" spans="3:11" x14ac:dyDescent="0.25">
      <c r="C37" s="8" t="s">
        <v>58</v>
      </c>
      <c r="F37" s="91"/>
      <c r="H37" s="91"/>
      <c r="I37" s="92">
        <f>I34*I14/100</f>
        <v>-180144.63774655882</v>
      </c>
      <c r="J37" s="92">
        <f>J34*J14/100</f>
        <v>-198349.08025299344</v>
      </c>
      <c r="K37" s="92">
        <f>K34*K14/100</f>
        <v>-194570.19017258231</v>
      </c>
    </row>
    <row r="38" spans="3:11" x14ac:dyDescent="0.25">
      <c r="C38" s="90" t="s">
        <v>53</v>
      </c>
      <c r="I38" s="99">
        <f>I12-I37</f>
        <v>432744.63774655882</v>
      </c>
      <c r="J38" s="99">
        <f>J12-J37</f>
        <v>558149.08025299339</v>
      </c>
      <c r="K38" s="99">
        <f>K12-K37</f>
        <v>594470.19017258228</v>
      </c>
    </row>
    <row r="39" spans="3:11" x14ac:dyDescent="0.25">
      <c r="C39" s="8"/>
      <c r="F39" s="91"/>
      <c r="H39" s="91"/>
      <c r="I39" s="88"/>
      <c r="J39" s="88"/>
      <c r="K39" s="88"/>
    </row>
    <row r="40" spans="3:11" x14ac:dyDescent="0.25">
      <c r="C40" s="8" t="s">
        <v>51</v>
      </c>
      <c r="F40" s="91"/>
      <c r="H40" s="92">
        <f>H16</f>
        <v>7904065.5</v>
      </c>
      <c r="I40" s="92">
        <f>H40+I21-I24-I27-I12+I38</f>
        <v>7847310.1377465585</v>
      </c>
      <c r="J40" s="92">
        <f>I40+J21-J24-J27-J12+J38</f>
        <v>8024759.2179995514</v>
      </c>
      <c r="K40" s="92">
        <f>J40+K21-K24-K27-K12+K38</f>
        <v>7621729.4081721334</v>
      </c>
    </row>
    <row r="41" spans="3:11" x14ac:dyDescent="0.25">
      <c r="C41" s="8"/>
      <c r="F41" s="88"/>
      <c r="H41" s="88"/>
      <c r="I41" s="97"/>
      <c r="J41" s="97"/>
      <c r="K41" s="97"/>
    </row>
    <row r="42" spans="3:11" x14ac:dyDescent="0.25">
      <c r="C42" s="8" t="s">
        <v>63</v>
      </c>
      <c r="F42" s="88"/>
      <c r="H42" s="93">
        <f>-H40/H14*100</f>
        <v>86.345482849027746</v>
      </c>
      <c r="I42" s="96">
        <f>-I40/I14*100</f>
        <v>84.556064669811846</v>
      </c>
      <c r="J42" s="96">
        <f>-J40/J14*100</f>
        <v>85.289026538697954</v>
      </c>
      <c r="K42" s="96">
        <f>-K40/K14*100</f>
        <v>79.899041934041989</v>
      </c>
    </row>
    <row r="43" spans="3:11" x14ac:dyDescent="0.25">
      <c r="C43" s="135" t="s">
        <v>62</v>
      </c>
      <c r="D43" s="9"/>
      <c r="E43" s="9"/>
      <c r="F43" s="9"/>
      <c r="H43" s="136" t="str">
        <f>IF(H42&lt;100,"gut", IF(H42&gt;150,"schlecht","genügend"))</f>
        <v>gut</v>
      </c>
      <c r="I43" s="136" t="str">
        <f t="shared" ref="I43:J43" si="5">IF(I42&lt;100,"gut", IF(I42&gt;150,"schlecht","genügend"))</f>
        <v>gut</v>
      </c>
      <c r="J43" s="136" t="str">
        <f t="shared" si="5"/>
        <v>gut</v>
      </c>
      <c r="K43" s="136" t="str">
        <f>IF(K42&lt;100,"gut", IF(K42&gt;150,"schlecht","genügend"))</f>
        <v>gut</v>
      </c>
    </row>
    <row r="45" spans="3:11" x14ac:dyDescent="0.25">
      <c r="C45" s="8" t="s">
        <v>77</v>
      </c>
      <c r="E45" s="5"/>
      <c r="F45" s="92">
        <f>-1.5*F14</f>
        <v>13582770</v>
      </c>
      <c r="G45" s="92">
        <f t="shared" ref="G45:K45" si="6">-1.5*G14</f>
        <v>13774500</v>
      </c>
      <c r="H45" s="92">
        <f t="shared" si="6"/>
        <v>13731000</v>
      </c>
      <c r="I45" s="92">
        <f t="shared" si="6"/>
        <v>13920900</v>
      </c>
      <c r="J45" s="92">
        <f t="shared" si="6"/>
        <v>14113350</v>
      </c>
      <c r="K45" s="92">
        <f t="shared" si="6"/>
        <v>14308800</v>
      </c>
    </row>
    <row r="46" spans="3:11" x14ac:dyDescent="0.25">
      <c r="C46" s="90" t="s">
        <v>52</v>
      </c>
      <c r="F46" s="99">
        <f t="shared" ref="F46:K46" si="7">F45-F16</f>
        <v>5522604.5</v>
      </c>
      <c r="G46" s="99">
        <f t="shared" si="7"/>
        <v>6239134.5</v>
      </c>
      <c r="H46" s="99">
        <f t="shared" si="7"/>
        <v>5826934.5</v>
      </c>
      <c r="I46" s="99">
        <f t="shared" si="7"/>
        <v>6506334.5</v>
      </c>
      <c r="J46" s="99">
        <f t="shared" si="7"/>
        <v>7079484.5</v>
      </c>
      <c r="K46" s="99">
        <f t="shared" si="7"/>
        <v>8272434.5</v>
      </c>
    </row>
  </sheetData>
  <pageMargins left="0.70866141732283472" right="0.70866141732283472" top="0.78740157480314965" bottom="0.78740157480314965" header="0.31496062992125984" footer="0.31496062992125984"/>
  <pageSetup paperSize="8" scale="76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45E5C62-EAF7-4360-AE91-86BAEBD68B6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0"/>
              <x14:cfIcon iconSet="NoIcons" iconId="0"/>
              <x14:cfIcon iconSet="3Symbols" iconId="2"/>
            </x14:iconSet>
          </x14:cfRule>
          <xm:sqref>F46:K46 I38:K38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opLeftCell="B1" zoomScaleNormal="100" workbookViewId="0">
      <pane ySplit="5" topLeftCell="A6" activePane="bottomLeft" state="frozen"/>
      <selection activeCell="C35" sqref="C35"/>
      <selection pane="bottomLeft" activeCell="I34" sqref="I34:K34"/>
    </sheetView>
  </sheetViews>
  <sheetFormatPr baseColWidth="10" defaultRowHeight="15" x14ac:dyDescent="0.25"/>
  <cols>
    <col min="1" max="1" width="37.140625" customWidth="1"/>
    <col min="2" max="2" width="7.28515625" customWidth="1"/>
    <col min="3" max="3" width="26" bestFit="1" customWidth="1"/>
    <col min="5" max="5" width="23.85546875" customWidth="1"/>
    <col min="6" max="6" width="15.85546875" customWidth="1"/>
    <col min="7" max="11" width="18.5703125" customWidth="1"/>
    <col min="13" max="13" width="27" bestFit="1" customWidth="1"/>
  </cols>
  <sheetData>
    <row r="1" spans="1:18" ht="21" x14ac:dyDescent="0.35">
      <c r="A1" s="1" t="s">
        <v>4</v>
      </c>
      <c r="J1" s="22" t="s">
        <v>24</v>
      </c>
      <c r="K1" s="22" t="s">
        <v>16</v>
      </c>
    </row>
    <row r="4" spans="1:18" ht="15.75" x14ac:dyDescent="0.25">
      <c r="A4" s="11" t="s">
        <v>8</v>
      </c>
      <c r="B4" s="24"/>
      <c r="C4" s="35"/>
      <c r="D4" s="35"/>
      <c r="E4" s="35"/>
      <c r="F4" s="3">
        <v>2018</v>
      </c>
      <c r="G4" s="3">
        <v>2019</v>
      </c>
      <c r="H4" s="3">
        <v>2020</v>
      </c>
      <c r="I4" s="3">
        <v>2021</v>
      </c>
      <c r="J4" s="3">
        <v>2022</v>
      </c>
      <c r="K4" s="4">
        <v>2023</v>
      </c>
    </row>
    <row r="5" spans="1:18" x14ac:dyDescent="0.25">
      <c r="A5" s="40"/>
      <c r="B5" s="37"/>
      <c r="C5" s="37"/>
      <c r="D5" s="37"/>
      <c r="E5" s="37"/>
      <c r="F5" s="129" t="s">
        <v>0</v>
      </c>
      <c r="G5" s="129" t="s">
        <v>1</v>
      </c>
      <c r="H5" s="129" t="s">
        <v>1</v>
      </c>
      <c r="I5" s="129" t="s">
        <v>2</v>
      </c>
      <c r="J5" s="129" t="s">
        <v>2</v>
      </c>
      <c r="K5" s="130" t="s">
        <v>2</v>
      </c>
      <c r="M5" s="82" t="s">
        <v>44</v>
      </c>
    </row>
    <row r="6" spans="1:18" x14ac:dyDescent="0.25">
      <c r="A6" s="40"/>
      <c r="B6" s="37"/>
      <c r="C6" s="37"/>
      <c r="D6" s="37"/>
      <c r="E6" s="37"/>
      <c r="F6" s="37"/>
      <c r="G6" s="21"/>
      <c r="H6" s="37"/>
      <c r="I6" s="37"/>
      <c r="J6" s="37"/>
      <c r="K6" s="41"/>
    </row>
    <row r="7" spans="1:18" x14ac:dyDescent="0.25">
      <c r="A7" s="7" t="s">
        <v>27</v>
      </c>
      <c r="B7" s="42" t="s">
        <v>28</v>
      </c>
      <c r="C7" s="8"/>
      <c r="D7" s="8"/>
      <c r="E7" s="8"/>
      <c r="F7" s="46">
        <v>499057.75</v>
      </c>
      <c r="G7" s="47">
        <v>460</v>
      </c>
      <c r="H7" s="46">
        <v>11500</v>
      </c>
      <c r="I7" s="48">
        <v>299970</v>
      </c>
      <c r="J7" s="48">
        <v>16120</v>
      </c>
      <c r="K7" s="49">
        <v>-284780</v>
      </c>
      <c r="M7" s="45" t="s">
        <v>40</v>
      </c>
      <c r="N7" s="2"/>
      <c r="O7" s="2"/>
      <c r="P7" s="2"/>
      <c r="Q7" s="2"/>
      <c r="R7" s="2"/>
    </row>
    <row r="8" spans="1:18" x14ac:dyDescent="0.25">
      <c r="A8" s="40" t="s">
        <v>22</v>
      </c>
      <c r="B8" s="36">
        <v>383</v>
      </c>
      <c r="C8" s="36" t="s">
        <v>30</v>
      </c>
      <c r="D8" s="37"/>
      <c r="E8" s="37"/>
      <c r="F8" s="54">
        <v>0</v>
      </c>
      <c r="G8" s="54">
        <v>0</v>
      </c>
      <c r="H8" s="54">
        <v>0</v>
      </c>
      <c r="I8" s="55">
        <v>0</v>
      </c>
      <c r="J8" s="55">
        <v>0</v>
      </c>
      <c r="K8" s="56">
        <v>0</v>
      </c>
      <c r="M8" s="30" t="s">
        <v>41</v>
      </c>
    </row>
    <row r="9" spans="1:18" x14ac:dyDescent="0.25">
      <c r="A9" s="40"/>
      <c r="B9" s="36">
        <v>387</v>
      </c>
      <c r="C9" s="36" t="s">
        <v>29</v>
      </c>
      <c r="D9" s="37"/>
      <c r="E9" s="37"/>
      <c r="F9" s="54">
        <v>0</v>
      </c>
      <c r="G9" s="54">
        <v>0</v>
      </c>
      <c r="H9" s="54">
        <v>0</v>
      </c>
      <c r="I9" s="55">
        <v>0</v>
      </c>
      <c r="J9" s="55">
        <v>0</v>
      </c>
      <c r="K9" s="56">
        <v>0</v>
      </c>
      <c r="M9" s="2"/>
    </row>
    <row r="10" spans="1:18" x14ac:dyDescent="0.25">
      <c r="A10" s="40"/>
      <c r="B10" s="36">
        <v>389</v>
      </c>
      <c r="C10" s="36" t="s">
        <v>25</v>
      </c>
      <c r="D10" s="37"/>
      <c r="E10" s="37"/>
      <c r="F10" s="50">
        <v>900000</v>
      </c>
      <c r="G10" s="54">
        <v>0</v>
      </c>
      <c r="H10" s="54">
        <v>0</v>
      </c>
      <c r="I10" s="55">
        <v>0</v>
      </c>
      <c r="J10" s="55">
        <v>0</v>
      </c>
      <c r="K10" s="56">
        <v>0</v>
      </c>
      <c r="M10" s="2"/>
    </row>
    <row r="11" spans="1:18" x14ac:dyDescent="0.25">
      <c r="A11" s="43" t="s">
        <v>23</v>
      </c>
      <c r="B11" s="44">
        <v>489</v>
      </c>
      <c r="C11" s="36" t="s">
        <v>26</v>
      </c>
      <c r="D11" s="39"/>
      <c r="E11" s="39"/>
      <c r="F11" s="54">
        <v>0</v>
      </c>
      <c r="G11" s="50">
        <v>-50000</v>
      </c>
      <c r="H11" s="50">
        <v>-376000</v>
      </c>
      <c r="I11" s="55">
        <v>0</v>
      </c>
      <c r="J11" s="55">
        <v>0</v>
      </c>
      <c r="K11" s="56">
        <v>0</v>
      </c>
      <c r="M11" s="2"/>
    </row>
    <row r="12" spans="1:18" x14ac:dyDescent="0.25">
      <c r="A12" s="7" t="s">
        <v>3</v>
      </c>
      <c r="B12" s="8"/>
      <c r="C12" s="36"/>
      <c r="D12" s="8"/>
      <c r="E12" s="8"/>
      <c r="F12" s="57">
        <f t="shared" ref="F12:K12" si="0">SUM(F7:F11)</f>
        <v>1399057.75</v>
      </c>
      <c r="G12" s="58">
        <f t="shared" si="0"/>
        <v>-49540</v>
      </c>
      <c r="H12" s="57">
        <f t="shared" si="0"/>
        <v>-364500</v>
      </c>
      <c r="I12" s="57">
        <f t="shared" si="0"/>
        <v>299970</v>
      </c>
      <c r="J12" s="57">
        <f t="shared" si="0"/>
        <v>16120</v>
      </c>
      <c r="K12" s="59">
        <f t="shared" si="0"/>
        <v>-284780</v>
      </c>
      <c r="M12" s="2"/>
    </row>
    <row r="13" spans="1:18" x14ac:dyDescent="0.25">
      <c r="A13" s="40"/>
      <c r="B13" s="37"/>
      <c r="C13" s="36"/>
      <c r="D13" s="37"/>
      <c r="E13" s="37"/>
      <c r="F13" s="60"/>
      <c r="G13" s="61"/>
      <c r="H13" s="60"/>
      <c r="I13" s="60"/>
      <c r="J13" s="60"/>
      <c r="K13" s="62"/>
    </row>
    <row r="14" spans="1:18" ht="17.25" x14ac:dyDescent="0.25">
      <c r="A14" s="12" t="s">
        <v>20</v>
      </c>
      <c r="B14" s="36">
        <v>40</v>
      </c>
      <c r="C14" s="36" t="s">
        <v>20</v>
      </c>
      <c r="D14" s="13"/>
      <c r="E14" s="8"/>
      <c r="F14" s="46">
        <v>-7462126.25</v>
      </c>
      <c r="G14" s="47">
        <v>-7607500</v>
      </c>
      <c r="H14" s="46">
        <v>-6869000</v>
      </c>
      <c r="I14" s="48">
        <v>-7914530</v>
      </c>
      <c r="J14" s="48">
        <v>-8072680</v>
      </c>
      <c r="K14" s="49">
        <v>-8233970</v>
      </c>
      <c r="L14" s="19"/>
    </row>
    <row r="15" spans="1:18" x14ac:dyDescent="0.25">
      <c r="A15" s="43"/>
      <c r="B15" s="39"/>
      <c r="C15" s="36"/>
      <c r="D15" s="39"/>
      <c r="E15" s="37"/>
      <c r="F15" s="60"/>
      <c r="G15" s="61"/>
      <c r="H15" s="60"/>
      <c r="I15" s="60"/>
      <c r="J15" s="60"/>
      <c r="K15" s="62"/>
    </row>
    <row r="16" spans="1:18" x14ac:dyDescent="0.25">
      <c r="A16" s="12" t="s">
        <v>54</v>
      </c>
      <c r="B16" s="13"/>
      <c r="C16" s="36"/>
      <c r="D16" s="13"/>
      <c r="E16" s="8"/>
      <c r="F16" s="63">
        <v>-1429075.38</v>
      </c>
      <c r="G16" s="64">
        <f>F16-G12-G24-G27+G21</f>
        <v>-1954185.38</v>
      </c>
      <c r="H16" s="64">
        <f t="shared" ref="H16:K16" si="1">G16-H12-H24-H27+H21</f>
        <v>-1762485.38</v>
      </c>
      <c r="I16" s="64">
        <f t="shared" si="1"/>
        <v>162744.62000000011</v>
      </c>
      <c r="J16" s="64">
        <f t="shared" si="1"/>
        <v>4488544.62</v>
      </c>
      <c r="K16" s="100">
        <f t="shared" si="1"/>
        <v>9026564.620000001</v>
      </c>
      <c r="M16" s="29" t="s">
        <v>21</v>
      </c>
    </row>
    <row r="17" spans="1:11" s="98" customFormat="1" x14ac:dyDescent="0.25">
      <c r="A17" s="12"/>
      <c r="B17" s="13"/>
      <c r="C17" s="44"/>
      <c r="D17" s="13"/>
      <c r="E17" s="13"/>
      <c r="F17" s="103"/>
      <c r="G17" s="104"/>
      <c r="H17" s="104"/>
      <c r="I17" s="104"/>
      <c r="J17" s="104"/>
      <c r="K17" s="114"/>
    </row>
    <row r="18" spans="1:11" x14ac:dyDescent="0.25">
      <c r="A18" s="12" t="s">
        <v>7</v>
      </c>
      <c r="B18" s="13"/>
      <c r="C18" s="36"/>
      <c r="D18" s="13"/>
      <c r="E18" s="8"/>
      <c r="F18" s="128">
        <f>-1/F14*F16</f>
        <v>-0.19151048000561499</v>
      </c>
      <c r="G18" s="128">
        <f t="shared" ref="G18:K18" si="2">-1/G14*G16</f>
        <v>-0.25687615905356553</v>
      </c>
      <c r="H18" s="128">
        <f t="shared" si="2"/>
        <v>-0.25658543892851943</v>
      </c>
      <c r="I18" s="128">
        <f t="shared" si="2"/>
        <v>2.056276493992696E-2</v>
      </c>
      <c r="J18" s="128">
        <f t="shared" si="2"/>
        <v>0.55601666608858524</v>
      </c>
      <c r="K18" s="131">
        <f t="shared" si="2"/>
        <v>1.0962591095182519</v>
      </c>
    </row>
    <row r="19" spans="1:11" x14ac:dyDescent="0.25">
      <c r="A19" s="134" t="s">
        <v>62</v>
      </c>
      <c r="B19" s="14"/>
      <c r="C19" s="38"/>
      <c r="D19" s="14"/>
      <c r="E19" s="10"/>
      <c r="F19" s="65" t="str">
        <f>IF(F18&lt;100%,"gut", IF(F18&gt;150%,"schlecht","genügend"))</f>
        <v>gut</v>
      </c>
      <c r="G19" s="65" t="str">
        <f t="shared" ref="G19:K19" si="3">IF(G18&lt;100%,"gut", IF(G18&gt;150%,"schlecht","genügend"))</f>
        <v>gut</v>
      </c>
      <c r="H19" s="65" t="str">
        <f t="shared" si="3"/>
        <v>gut</v>
      </c>
      <c r="I19" s="65" t="str">
        <f t="shared" si="3"/>
        <v>gut</v>
      </c>
      <c r="J19" s="65" t="str">
        <f t="shared" si="3"/>
        <v>gut</v>
      </c>
      <c r="K19" s="66" t="str">
        <f t="shared" si="3"/>
        <v>genügend</v>
      </c>
    </row>
    <row r="20" spans="1:11" x14ac:dyDescent="0.25">
      <c r="F20" s="67"/>
      <c r="G20" s="68"/>
      <c r="H20" s="67"/>
      <c r="I20" s="67"/>
      <c r="J20" s="67"/>
      <c r="K20" s="67"/>
    </row>
    <row r="21" spans="1:11" x14ac:dyDescent="0.25">
      <c r="A21" s="32" t="s">
        <v>5</v>
      </c>
      <c r="B21" s="27"/>
      <c r="C21" s="28"/>
      <c r="D21" s="28"/>
      <c r="E21" s="28"/>
      <c r="F21" s="69">
        <v>1412663.17</v>
      </c>
      <c r="G21" s="70">
        <v>346000</v>
      </c>
      <c r="H21" s="69">
        <v>491000</v>
      </c>
      <c r="I21" s="71">
        <v>3059000</v>
      </c>
      <c r="J21" s="71">
        <v>5459000</v>
      </c>
      <c r="K21" s="72">
        <v>5598000</v>
      </c>
    </row>
    <row r="22" spans="1:11" x14ac:dyDescent="0.25">
      <c r="A22" s="33" t="s">
        <v>6</v>
      </c>
      <c r="B22" s="27">
        <v>33</v>
      </c>
      <c r="C22" s="28" t="s">
        <v>31</v>
      </c>
      <c r="D22" s="28"/>
      <c r="E22" s="28"/>
      <c r="F22" s="69">
        <v>675553.8</v>
      </c>
      <c r="G22" s="70">
        <v>574000</v>
      </c>
      <c r="H22" s="69">
        <v>356700</v>
      </c>
      <c r="I22" s="71">
        <v>440350</v>
      </c>
      <c r="J22" s="71">
        <v>703830</v>
      </c>
      <c r="K22" s="72">
        <v>1147860</v>
      </c>
    </row>
    <row r="23" spans="1:11" x14ac:dyDescent="0.25">
      <c r="A23" s="34"/>
      <c r="B23" s="25">
        <v>366</v>
      </c>
      <c r="C23" s="18" t="s">
        <v>32</v>
      </c>
      <c r="D23" s="18"/>
      <c r="E23" s="18"/>
      <c r="F23" s="73">
        <v>152100</v>
      </c>
      <c r="G23" s="74">
        <v>149300</v>
      </c>
      <c r="H23" s="73">
        <v>140400</v>
      </c>
      <c r="I23" s="75">
        <v>140100</v>
      </c>
      <c r="J23" s="75">
        <v>158360</v>
      </c>
      <c r="K23" s="76">
        <v>103040</v>
      </c>
    </row>
    <row r="24" spans="1:11" x14ac:dyDescent="0.25">
      <c r="A24" s="16"/>
      <c r="B24" s="26" t="s">
        <v>10</v>
      </c>
      <c r="C24" s="23"/>
      <c r="D24" s="23"/>
      <c r="E24" s="23"/>
      <c r="F24" s="77">
        <f>F22+F23</f>
        <v>827653.8</v>
      </c>
      <c r="G24" s="78">
        <f t="shared" ref="G24:K24" si="4">G22+G23</f>
        <v>723300</v>
      </c>
      <c r="H24" s="77">
        <f t="shared" si="4"/>
        <v>497100</v>
      </c>
      <c r="I24" s="77">
        <f>I22+I23</f>
        <v>580450</v>
      </c>
      <c r="J24" s="77">
        <f t="shared" si="4"/>
        <v>862190</v>
      </c>
      <c r="K24" s="79">
        <f t="shared" si="4"/>
        <v>1250900</v>
      </c>
    </row>
    <row r="25" spans="1:11" x14ac:dyDescent="0.25">
      <c r="A25" s="33" t="s">
        <v>18</v>
      </c>
      <c r="B25" s="25">
        <v>35</v>
      </c>
      <c r="C25" s="31" t="s">
        <v>33</v>
      </c>
      <c r="D25" s="18"/>
      <c r="E25" s="18"/>
      <c r="F25" s="73">
        <v>198670.97</v>
      </c>
      <c r="G25" s="74">
        <v>198900</v>
      </c>
      <c r="H25" s="73">
        <v>166700</v>
      </c>
      <c r="I25" s="75">
        <v>253350</v>
      </c>
      <c r="J25" s="75">
        <v>254890</v>
      </c>
      <c r="K25" s="76">
        <v>93860</v>
      </c>
    </row>
    <row r="26" spans="1:11" x14ac:dyDescent="0.25">
      <c r="A26" s="15"/>
      <c r="B26" s="25">
        <v>45</v>
      </c>
      <c r="C26" s="31" t="s">
        <v>34</v>
      </c>
      <c r="D26" s="18"/>
      <c r="E26" s="18"/>
      <c r="F26" s="73">
        <v>-2545.4299999999998</v>
      </c>
      <c r="G26" s="74">
        <v>-1550</v>
      </c>
      <c r="H26" s="73">
        <v>0</v>
      </c>
      <c r="I26" s="75">
        <v>0</v>
      </c>
      <c r="J26" s="75">
        <v>0</v>
      </c>
      <c r="K26" s="76">
        <v>0</v>
      </c>
    </row>
    <row r="27" spans="1:11" x14ac:dyDescent="0.25">
      <c r="A27" s="16"/>
      <c r="B27" s="26" t="s">
        <v>11</v>
      </c>
      <c r="C27" s="23"/>
      <c r="D27" s="23"/>
      <c r="E27" s="23"/>
      <c r="F27" s="77">
        <f>F25+F26</f>
        <v>196125.54</v>
      </c>
      <c r="G27" s="78">
        <f t="shared" ref="G27:K27" si="5">G25+G26</f>
        <v>197350</v>
      </c>
      <c r="H27" s="77">
        <f t="shared" si="5"/>
        <v>166700</v>
      </c>
      <c r="I27" s="77">
        <f t="shared" si="5"/>
        <v>253350</v>
      </c>
      <c r="J27" s="77">
        <f t="shared" si="5"/>
        <v>254890</v>
      </c>
      <c r="K27" s="79">
        <f t="shared" si="5"/>
        <v>93860</v>
      </c>
    </row>
    <row r="28" spans="1:11" x14ac:dyDescent="0.25">
      <c r="A28" s="18"/>
      <c r="B28" s="5"/>
      <c r="C28" s="5"/>
      <c r="D28" s="5"/>
      <c r="E28" s="5"/>
      <c r="F28" s="17"/>
      <c r="G28" s="17"/>
      <c r="H28" s="17"/>
      <c r="I28" s="17"/>
      <c r="J28" s="17"/>
      <c r="K28" s="17"/>
    </row>
    <row r="30" spans="1:11" x14ac:dyDescent="0.25">
      <c r="A30" s="20"/>
    </row>
    <row r="31" spans="1:11" x14ac:dyDescent="0.25">
      <c r="A31" s="20"/>
    </row>
    <row r="32" spans="1:11" x14ac:dyDescent="0.25">
      <c r="F32" s="88"/>
      <c r="H32" s="88"/>
      <c r="I32" s="94"/>
      <c r="J32" s="95" t="s">
        <v>49</v>
      </c>
      <c r="K32" s="94"/>
    </row>
    <row r="33" spans="3:11" x14ac:dyDescent="0.25">
      <c r="F33" s="88"/>
      <c r="H33" s="88"/>
      <c r="I33" s="88"/>
      <c r="J33" s="88"/>
      <c r="K33" s="88"/>
    </row>
    <row r="34" spans="3:11" x14ac:dyDescent="0.25">
      <c r="C34" s="8" t="s">
        <v>57</v>
      </c>
      <c r="F34" s="89"/>
      <c r="H34" s="89"/>
      <c r="I34" s="96">
        <f>IF(H42&gt;0,Grundeinstellungen!$Y$17*H42+Grundeinstellungen!$AC$17,10)</f>
        <v>10</v>
      </c>
      <c r="J34" s="96">
        <f>IF(I42&gt;0,Grundeinstellungen!$Y$17*I42+Grundeinstellungen!$AC$17,10)</f>
        <v>8.5210032113930545</v>
      </c>
      <c r="K34" s="96">
        <f>IF(J42&gt;0,Grundeinstellungen!$Y$17*J42+Grundeinstellungen!$AC$17,10)</f>
        <v>2.7347173273611904</v>
      </c>
    </row>
    <row r="35" spans="3:11" x14ac:dyDescent="0.25">
      <c r="C35" s="90" t="s">
        <v>50</v>
      </c>
      <c r="F35" s="89"/>
      <c r="H35" s="89"/>
      <c r="I35" s="88"/>
      <c r="J35" s="88"/>
      <c r="K35" s="88"/>
    </row>
    <row r="36" spans="3:11" x14ac:dyDescent="0.25">
      <c r="F36" s="88"/>
      <c r="H36" s="88"/>
      <c r="I36" s="88"/>
      <c r="J36" s="88"/>
      <c r="K36" s="88"/>
    </row>
    <row r="37" spans="3:11" x14ac:dyDescent="0.25">
      <c r="C37" s="8" t="s">
        <v>58</v>
      </c>
      <c r="F37" s="91"/>
      <c r="H37" s="91"/>
      <c r="I37" s="92">
        <f>I34*I14/100</f>
        <v>-791453</v>
      </c>
      <c r="J37" s="92">
        <f>J34*J14/100</f>
        <v>-687873.32204548479</v>
      </c>
      <c r="K37" s="92">
        <f t="shared" ref="K37" si="6">K34*K14/100</f>
        <v>-225175.8043197222</v>
      </c>
    </row>
    <row r="38" spans="3:11" x14ac:dyDescent="0.25">
      <c r="C38" s="90" t="s">
        <v>53</v>
      </c>
      <c r="I38" s="99">
        <f>I12-I37</f>
        <v>1091423</v>
      </c>
      <c r="J38" s="99">
        <f t="shared" ref="J38:K38" si="7">J12-J37</f>
        <v>703993.32204548479</v>
      </c>
      <c r="K38" s="99">
        <f t="shared" si="7"/>
        <v>-59604.1956802778</v>
      </c>
    </row>
    <row r="39" spans="3:11" x14ac:dyDescent="0.25">
      <c r="C39" s="8"/>
      <c r="F39" s="91"/>
      <c r="H39" s="91"/>
      <c r="I39" s="88"/>
      <c r="J39" s="88"/>
      <c r="K39" s="88"/>
    </row>
    <row r="40" spans="3:11" x14ac:dyDescent="0.25">
      <c r="C40" s="8" t="s">
        <v>51</v>
      </c>
      <c r="F40" s="91"/>
      <c r="H40" s="92">
        <f>H16</f>
        <v>-1762485.38</v>
      </c>
      <c r="I40" s="92">
        <f>H40+I21-I24-I27-I12+I38</f>
        <v>1254167.6200000001</v>
      </c>
      <c r="J40" s="92">
        <f t="shared" ref="J40:K40" si="8">I40+J21-J24-J27-J12+J38</f>
        <v>6283960.9420454847</v>
      </c>
      <c r="K40" s="92">
        <f t="shared" si="8"/>
        <v>10762376.746365206</v>
      </c>
    </row>
    <row r="41" spans="3:11" x14ac:dyDescent="0.25">
      <c r="C41" s="8"/>
      <c r="F41" s="88"/>
      <c r="H41" s="88"/>
      <c r="I41" s="97"/>
      <c r="J41" s="97"/>
      <c r="K41" s="97"/>
    </row>
    <row r="42" spans="3:11" x14ac:dyDescent="0.25">
      <c r="C42" s="8" t="s">
        <v>63</v>
      </c>
      <c r="F42" s="88"/>
      <c r="H42" s="93">
        <f>-H40/H14*100</f>
        <v>-25.658543892851942</v>
      </c>
      <c r="I42" s="96">
        <f>-I40/I14*100</f>
        <v>15.846394163645853</v>
      </c>
      <c r="J42" s="96">
        <f t="shared" ref="J42:K42" si="9">-J40/J14*100</f>
        <v>77.842314349701525</v>
      </c>
      <c r="K42" s="96">
        <f t="shared" si="9"/>
        <v>130.70701917015978</v>
      </c>
    </row>
    <row r="43" spans="3:11" x14ac:dyDescent="0.25">
      <c r="C43" s="135" t="s">
        <v>62</v>
      </c>
      <c r="D43" s="9"/>
      <c r="E43" s="9"/>
      <c r="F43" s="9"/>
      <c r="H43" s="136" t="str">
        <f>IF(H42&lt;100,"gut", IF(H42&gt;150,"schlecht","genügend"))</f>
        <v>gut</v>
      </c>
      <c r="I43" s="136" t="str">
        <f t="shared" ref="I43:J43" si="10">IF(I42&lt;100,"gut", IF(I42&gt;150,"schlecht","genügend"))</f>
        <v>gut</v>
      </c>
      <c r="J43" s="136" t="str">
        <f t="shared" si="10"/>
        <v>gut</v>
      </c>
      <c r="K43" s="136" t="str">
        <f>IF(K42&lt;100,"gut", IF(K42&gt;150,"schlecht","genügend"))</f>
        <v>genügend</v>
      </c>
    </row>
    <row r="45" spans="3:11" x14ac:dyDescent="0.25">
      <c r="C45" s="8" t="s">
        <v>77</v>
      </c>
      <c r="E45" s="5"/>
      <c r="F45" s="92">
        <f>-1.5*F14</f>
        <v>11193189.375</v>
      </c>
      <c r="G45" s="92">
        <f t="shared" ref="G45:K45" si="11">-1.5*G14</f>
        <v>11411250</v>
      </c>
      <c r="H45" s="92">
        <f t="shared" si="11"/>
        <v>10303500</v>
      </c>
      <c r="I45" s="92">
        <f t="shared" si="11"/>
        <v>11871795</v>
      </c>
      <c r="J45" s="92">
        <f t="shared" si="11"/>
        <v>12109020</v>
      </c>
      <c r="K45" s="92">
        <f t="shared" si="11"/>
        <v>12350955</v>
      </c>
    </row>
    <row r="46" spans="3:11" x14ac:dyDescent="0.25">
      <c r="C46" s="90" t="s">
        <v>52</v>
      </c>
      <c r="F46" s="99">
        <f t="shared" ref="F46:K46" si="12">F45-F16</f>
        <v>12622264.754999999</v>
      </c>
      <c r="G46" s="99">
        <f t="shared" si="12"/>
        <v>13365435.379999999</v>
      </c>
      <c r="H46" s="99">
        <f t="shared" si="12"/>
        <v>12065985.379999999</v>
      </c>
      <c r="I46" s="99">
        <f t="shared" si="12"/>
        <v>11709050.379999999</v>
      </c>
      <c r="J46" s="99">
        <f t="shared" si="12"/>
        <v>7620475.3799999999</v>
      </c>
      <c r="K46" s="99">
        <f t="shared" si="12"/>
        <v>3324390.379999999</v>
      </c>
    </row>
  </sheetData>
  <pageMargins left="0.70866141732283472" right="0.70866141732283472" top="0.78740157480314965" bottom="0.78740157480314965" header="0.31496062992125984" footer="0.31496062992125984"/>
  <pageSetup paperSize="8" scale="76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D39FC14-98FF-4292-9A3D-FACCC798781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0"/>
              <x14:cfIcon iconSet="NoIcons" iconId="0"/>
              <x14:cfIcon iconSet="3Symbols" iconId="2"/>
            </x14:iconSet>
          </x14:cfRule>
          <xm:sqref>F46:K46 I38:K38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opLeftCell="B1" zoomScaleNormal="100" workbookViewId="0">
      <pane ySplit="5" topLeftCell="A15" activePane="bottomLeft" state="frozen"/>
      <selection activeCell="C35" sqref="C35"/>
      <selection pane="bottomLeft" activeCell="I34" sqref="I34"/>
    </sheetView>
  </sheetViews>
  <sheetFormatPr baseColWidth="10" defaultRowHeight="15" x14ac:dyDescent="0.25"/>
  <cols>
    <col min="1" max="1" width="37.140625" customWidth="1"/>
    <col min="2" max="2" width="7.28515625" customWidth="1"/>
    <col min="3" max="3" width="26" bestFit="1" customWidth="1"/>
    <col min="5" max="5" width="23.85546875" customWidth="1"/>
    <col min="6" max="6" width="15.85546875" customWidth="1"/>
    <col min="7" max="11" width="18.5703125" customWidth="1"/>
    <col min="13" max="13" width="27" bestFit="1" customWidth="1"/>
  </cols>
  <sheetData>
    <row r="1" spans="1:13" ht="21" x14ac:dyDescent="0.35">
      <c r="A1" s="1" t="s">
        <v>4</v>
      </c>
      <c r="J1" s="22" t="s">
        <v>24</v>
      </c>
      <c r="K1" s="22" t="s">
        <v>17</v>
      </c>
    </row>
    <row r="4" spans="1:13" ht="15.75" x14ac:dyDescent="0.25">
      <c r="A4" s="11" t="s">
        <v>8</v>
      </c>
      <c r="B4" s="24"/>
      <c r="C4" s="35"/>
      <c r="D4" s="35"/>
      <c r="E4" s="35"/>
      <c r="F4" s="3">
        <v>2018</v>
      </c>
      <c r="G4" s="3">
        <v>2019</v>
      </c>
      <c r="H4" s="3">
        <v>2020</v>
      </c>
      <c r="I4" s="3">
        <v>2021</v>
      </c>
      <c r="J4" s="3">
        <v>2022</v>
      </c>
      <c r="K4" s="4">
        <v>2023</v>
      </c>
    </row>
    <row r="5" spans="1:13" x14ac:dyDescent="0.25">
      <c r="A5" s="40"/>
      <c r="B5" s="37"/>
      <c r="C5" s="37"/>
      <c r="D5" s="37"/>
      <c r="E5" s="37"/>
      <c r="F5" s="129" t="s">
        <v>0</v>
      </c>
      <c r="G5" s="129" t="s">
        <v>1</v>
      </c>
      <c r="H5" s="129" t="s">
        <v>1</v>
      </c>
      <c r="I5" s="129" t="s">
        <v>2</v>
      </c>
      <c r="J5" s="129" t="s">
        <v>2</v>
      </c>
      <c r="K5" s="130" t="s">
        <v>2</v>
      </c>
      <c r="M5" s="82" t="s">
        <v>44</v>
      </c>
    </row>
    <row r="6" spans="1:13" x14ac:dyDescent="0.25">
      <c r="A6" s="40"/>
      <c r="B6" s="37"/>
      <c r="C6" s="37"/>
      <c r="D6" s="37"/>
      <c r="E6" s="37"/>
      <c r="F6" s="37"/>
      <c r="G6" s="21"/>
      <c r="H6" s="37"/>
      <c r="I6" s="37"/>
      <c r="J6" s="37"/>
      <c r="K6" s="41"/>
    </row>
    <row r="7" spans="1:13" x14ac:dyDescent="0.25">
      <c r="A7" s="7" t="s">
        <v>27</v>
      </c>
      <c r="B7" s="42" t="s">
        <v>28</v>
      </c>
      <c r="C7" s="8"/>
      <c r="D7" s="8"/>
      <c r="E7" s="8"/>
      <c r="F7" s="46">
        <v>1366500.03</v>
      </c>
      <c r="G7" s="47">
        <v>1164300</v>
      </c>
      <c r="H7" s="46">
        <v>1080500</v>
      </c>
      <c r="I7" s="48">
        <v>1699200</v>
      </c>
      <c r="J7" s="48">
        <v>1140800</v>
      </c>
      <c r="K7" s="49">
        <v>-68600</v>
      </c>
      <c r="M7" s="45" t="s">
        <v>38</v>
      </c>
    </row>
    <row r="8" spans="1:13" x14ac:dyDescent="0.25">
      <c r="A8" s="40" t="s">
        <v>22</v>
      </c>
      <c r="B8" s="36">
        <v>383</v>
      </c>
      <c r="C8" s="36" t="s">
        <v>30</v>
      </c>
      <c r="D8" s="37"/>
      <c r="E8" s="37"/>
      <c r="F8" s="50">
        <v>988020.05</v>
      </c>
      <c r="G8" s="50">
        <v>1000000</v>
      </c>
      <c r="H8" s="54">
        <v>0</v>
      </c>
      <c r="I8" s="55" t="s">
        <v>43</v>
      </c>
      <c r="J8" s="55" t="s">
        <v>43</v>
      </c>
      <c r="K8" s="56" t="s">
        <v>43</v>
      </c>
      <c r="M8" s="30" t="s">
        <v>42</v>
      </c>
    </row>
    <row r="9" spans="1:13" x14ac:dyDescent="0.25">
      <c r="A9" s="40"/>
      <c r="B9" s="36">
        <v>387</v>
      </c>
      <c r="C9" s="36" t="s">
        <v>29</v>
      </c>
      <c r="D9" s="37"/>
      <c r="E9" s="37"/>
      <c r="F9" s="50">
        <v>1000000</v>
      </c>
      <c r="G9" s="54">
        <v>0</v>
      </c>
      <c r="H9" s="54">
        <v>0</v>
      </c>
      <c r="I9" s="55" t="s">
        <v>43</v>
      </c>
      <c r="J9" s="55" t="s">
        <v>43</v>
      </c>
      <c r="K9" s="56" t="s">
        <v>43</v>
      </c>
      <c r="M9" s="2"/>
    </row>
    <row r="10" spans="1:13" x14ac:dyDescent="0.25">
      <c r="A10" s="40"/>
      <c r="B10" s="36">
        <v>389</v>
      </c>
      <c r="C10" s="36" t="s">
        <v>25</v>
      </c>
      <c r="D10" s="37"/>
      <c r="E10" s="37"/>
      <c r="F10" s="50">
        <v>1000000</v>
      </c>
      <c r="G10" s="50">
        <v>800000</v>
      </c>
      <c r="H10" s="54">
        <v>0</v>
      </c>
      <c r="I10" s="55" t="s">
        <v>43</v>
      </c>
      <c r="J10" s="55" t="s">
        <v>43</v>
      </c>
      <c r="K10" s="56" t="s">
        <v>43</v>
      </c>
      <c r="M10" s="2"/>
    </row>
    <row r="11" spans="1:13" x14ac:dyDescent="0.25">
      <c r="A11" s="43" t="s">
        <v>23</v>
      </c>
      <c r="B11" s="44">
        <v>489</v>
      </c>
      <c r="C11" s="36" t="s">
        <v>26</v>
      </c>
      <c r="D11" s="39"/>
      <c r="E11" s="39"/>
      <c r="F11" s="54">
        <v>0</v>
      </c>
      <c r="G11" s="54">
        <v>0</v>
      </c>
      <c r="H11" s="54">
        <v>0</v>
      </c>
      <c r="I11" s="55" t="s">
        <v>43</v>
      </c>
      <c r="J11" s="55" t="s">
        <v>43</v>
      </c>
      <c r="K11" s="56" t="s">
        <v>43</v>
      </c>
      <c r="M11" s="2"/>
    </row>
    <row r="12" spans="1:13" x14ac:dyDescent="0.25">
      <c r="A12" s="7" t="s">
        <v>3</v>
      </c>
      <c r="B12" s="8"/>
      <c r="C12" s="36"/>
      <c r="D12" s="8"/>
      <c r="E12" s="8"/>
      <c r="F12" s="57">
        <f t="shared" ref="F12:K12" si="0">SUM(F7:F11)</f>
        <v>4354520.08</v>
      </c>
      <c r="G12" s="58">
        <f t="shared" si="0"/>
        <v>2964300</v>
      </c>
      <c r="H12" s="57">
        <f t="shared" si="0"/>
        <v>1080500</v>
      </c>
      <c r="I12" s="57">
        <f t="shared" si="0"/>
        <v>1699200</v>
      </c>
      <c r="J12" s="57">
        <f t="shared" si="0"/>
        <v>1140800</v>
      </c>
      <c r="K12" s="59">
        <f t="shared" si="0"/>
        <v>-68600</v>
      </c>
      <c r="M12" s="2"/>
    </row>
    <row r="13" spans="1:13" x14ac:dyDescent="0.25">
      <c r="A13" s="40"/>
      <c r="B13" s="37"/>
      <c r="C13" s="36"/>
      <c r="D13" s="37"/>
      <c r="E13" s="37"/>
      <c r="F13" s="60"/>
      <c r="G13" s="61"/>
      <c r="H13" s="60"/>
      <c r="I13" s="60"/>
      <c r="J13" s="60"/>
      <c r="K13" s="62"/>
    </row>
    <row r="14" spans="1:13" ht="17.25" x14ac:dyDescent="0.25">
      <c r="A14" s="12" t="s">
        <v>20</v>
      </c>
      <c r="B14" s="36">
        <v>40</v>
      </c>
      <c r="C14" s="36" t="s">
        <v>20</v>
      </c>
      <c r="D14" s="13"/>
      <c r="E14" s="8"/>
      <c r="F14" s="46">
        <v>-21505164.489999998</v>
      </c>
      <c r="G14" s="47">
        <v>-23139000</v>
      </c>
      <c r="H14" s="46">
        <v>-22387000</v>
      </c>
      <c r="I14" s="48">
        <v>-24059000</v>
      </c>
      <c r="J14" s="48">
        <v>-24540000</v>
      </c>
      <c r="K14" s="49">
        <v>-25031000</v>
      </c>
      <c r="L14" s="19"/>
    </row>
    <row r="15" spans="1:13" x14ac:dyDescent="0.25">
      <c r="A15" s="43"/>
      <c r="B15" s="39"/>
      <c r="C15" s="36"/>
      <c r="D15" s="39"/>
      <c r="E15" s="37"/>
      <c r="F15" s="60"/>
      <c r="G15" s="61"/>
      <c r="H15" s="60"/>
      <c r="I15" s="60"/>
      <c r="J15" s="60"/>
      <c r="K15" s="62"/>
    </row>
    <row r="16" spans="1:13" x14ac:dyDescent="0.25">
      <c r="A16" s="12" t="s">
        <v>54</v>
      </c>
      <c r="B16" s="13"/>
      <c r="C16" s="36"/>
      <c r="D16" s="13"/>
      <c r="E16" s="8"/>
      <c r="F16" s="63">
        <v>-6394008.0999999996</v>
      </c>
      <c r="G16" s="64">
        <f>F16-G12-G24-G27+G21</f>
        <v>-3385208.0999999996</v>
      </c>
      <c r="H16" s="64">
        <f t="shared" ref="H16:K16" si="1">G16-H12-H24-H27+H21</f>
        <v>1374591.9000000004</v>
      </c>
      <c r="I16" s="64">
        <f t="shared" si="1"/>
        <v>7438291.9000000004</v>
      </c>
      <c r="J16" s="64">
        <f t="shared" si="1"/>
        <v>18491691.899999999</v>
      </c>
      <c r="K16" s="100">
        <f t="shared" si="1"/>
        <v>28003591.899999999</v>
      </c>
      <c r="M16" s="29" t="s">
        <v>21</v>
      </c>
    </row>
    <row r="17" spans="1:11" s="98" customFormat="1" x14ac:dyDescent="0.25">
      <c r="A17" s="12"/>
      <c r="B17" s="13"/>
      <c r="C17" s="44"/>
      <c r="D17" s="13"/>
      <c r="E17" s="13"/>
      <c r="F17" s="103"/>
      <c r="G17" s="104"/>
      <c r="H17" s="104"/>
      <c r="I17" s="104"/>
      <c r="J17" s="104"/>
      <c r="K17" s="114"/>
    </row>
    <row r="18" spans="1:11" x14ac:dyDescent="0.25">
      <c r="A18" s="12" t="s">
        <v>7</v>
      </c>
      <c r="B18" s="13"/>
      <c r="C18" s="36"/>
      <c r="D18" s="13"/>
      <c r="E18" s="8"/>
      <c r="F18" s="128">
        <f>-1/F14*F16</f>
        <v>-0.29732430565565976</v>
      </c>
      <c r="G18" s="128">
        <f t="shared" ref="G18:K18" si="2">-1/G14*G16</f>
        <v>-0.14629880720860883</v>
      </c>
      <c r="H18" s="128">
        <f t="shared" si="2"/>
        <v>6.1401344530307787E-2</v>
      </c>
      <c r="I18" s="128">
        <f t="shared" si="2"/>
        <v>0.30916878922648494</v>
      </c>
      <c r="J18" s="128">
        <f t="shared" si="2"/>
        <v>0.75353267726161355</v>
      </c>
      <c r="K18" s="131">
        <f t="shared" si="2"/>
        <v>1.1187564180416285</v>
      </c>
    </row>
    <row r="19" spans="1:11" x14ac:dyDescent="0.25">
      <c r="A19" s="134" t="s">
        <v>62</v>
      </c>
      <c r="B19" s="14"/>
      <c r="C19" s="38"/>
      <c r="D19" s="14"/>
      <c r="E19" s="10"/>
      <c r="F19" s="65" t="str">
        <f>IF(F18&lt;100%,"gut", IF(F18&gt;150%,"schlecht","genügend"))</f>
        <v>gut</v>
      </c>
      <c r="G19" s="65" t="str">
        <f t="shared" ref="G19:K19" si="3">IF(G18&lt;100%,"gut", IF(G18&gt;150%,"schlecht","genügend"))</f>
        <v>gut</v>
      </c>
      <c r="H19" s="65" t="str">
        <f t="shared" si="3"/>
        <v>gut</v>
      </c>
      <c r="I19" s="65" t="str">
        <f t="shared" si="3"/>
        <v>gut</v>
      </c>
      <c r="J19" s="65" t="str">
        <f t="shared" si="3"/>
        <v>gut</v>
      </c>
      <c r="K19" s="66" t="str">
        <f t="shared" si="3"/>
        <v>genügend</v>
      </c>
    </row>
    <row r="20" spans="1:11" x14ac:dyDescent="0.25">
      <c r="F20" s="67"/>
      <c r="G20" s="68"/>
      <c r="H20" s="67"/>
      <c r="I20" s="67"/>
      <c r="J20" s="67"/>
      <c r="K20" s="67"/>
    </row>
    <row r="21" spans="1:11" x14ac:dyDescent="0.25">
      <c r="A21" s="32" t="s">
        <v>5</v>
      </c>
      <c r="B21" s="27"/>
      <c r="C21" s="28"/>
      <c r="D21" s="28"/>
      <c r="E21" s="28"/>
      <c r="F21" s="69">
        <v>3811505.52</v>
      </c>
      <c r="G21" s="70">
        <v>7176300</v>
      </c>
      <c r="H21" s="69">
        <v>7193900</v>
      </c>
      <c r="I21" s="71">
        <v>9952500</v>
      </c>
      <c r="J21" s="71">
        <v>15208700</v>
      </c>
      <c r="K21" s="72">
        <v>13733500</v>
      </c>
    </row>
    <row r="22" spans="1:11" x14ac:dyDescent="0.25">
      <c r="A22" s="33" t="s">
        <v>6</v>
      </c>
      <c r="B22" s="27">
        <v>33</v>
      </c>
      <c r="C22" s="28" t="s">
        <v>31</v>
      </c>
      <c r="D22" s="28"/>
      <c r="E22" s="28"/>
      <c r="F22" s="69">
        <v>1784685.15</v>
      </c>
      <c r="G22" s="70">
        <v>2046600</v>
      </c>
      <c r="H22" s="69">
        <v>1505200</v>
      </c>
      <c r="I22" s="71">
        <v>2472600</v>
      </c>
      <c r="J22" s="71">
        <v>3244500</v>
      </c>
      <c r="K22" s="72">
        <v>4479200</v>
      </c>
    </row>
    <row r="23" spans="1:11" x14ac:dyDescent="0.25">
      <c r="A23" s="34"/>
      <c r="B23" s="25">
        <v>366</v>
      </c>
      <c r="C23" s="18" t="s">
        <v>32</v>
      </c>
      <c r="D23" s="18"/>
      <c r="E23" s="18"/>
      <c r="F23" s="73">
        <v>27500</v>
      </c>
      <c r="G23" s="74">
        <v>132800</v>
      </c>
      <c r="H23" s="73">
        <v>232600</v>
      </c>
      <c r="I23" s="80"/>
      <c r="J23" s="80"/>
      <c r="K23" s="81"/>
    </row>
    <row r="24" spans="1:11" x14ac:dyDescent="0.25">
      <c r="A24" s="16"/>
      <c r="B24" s="26" t="s">
        <v>10</v>
      </c>
      <c r="C24" s="23"/>
      <c r="D24" s="23"/>
      <c r="E24" s="23"/>
      <c r="F24" s="77">
        <f>F22+F23</f>
        <v>1812185.15</v>
      </c>
      <c r="G24" s="78">
        <f t="shared" ref="G24:K24" si="4">G22+G23</f>
        <v>2179400</v>
      </c>
      <c r="H24" s="77">
        <f t="shared" si="4"/>
        <v>1737800</v>
      </c>
      <c r="I24" s="77">
        <f>I22+I23</f>
        <v>2472600</v>
      </c>
      <c r="J24" s="77">
        <f t="shared" si="4"/>
        <v>3244500</v>
      </c>
      <c r="K24" s="79">
        <f t="shared" si="4"/>
        <v>4479200</v>
      </c>
    </row>
    <row r="25" spans="1:11" x14ac:dyDescent="0.25">
      <c r="A25" s="33" t="s">
        <v>18</v>
      </c>
      <c r="B25" s="25">
        <v>35</v>
      </c>
      <c r="C25" s="31" t="s">
        <v>33</v>
      </c>
      <c r="D25" s="18"/>
      <c r="E25" s="18"/>
      <c r="F25" s="73">
        <v>0</v>
      </c>
      <c r="G25" s="74">
        <v>0</v>
      </c>
      <c r="H25" s="73">
        <v>0</v>
      </c>
      <c r="I25" s="75">
        <v>0</v>
      </c>
      <c r="J25" s="75">
        <v>0</v>
      </c>
      <c r="K25" s="76">
        <v>0</v>
      </c>
    </row>
    <row r="26" spans="1:11" x14ac:dyDescent="0.25">
      <c r="A26" s="15"/>
      <c r="B26" s="25">
        <v>45</v>
      </c>
      <c r="C26" s="31" t="s">
        <v>34</v>
      </c>
      <c r="D26" s="18"/>
      <c r="E26" s="18"/>
      <c r="F26" s="73">
        <v>-999836.37</v>
      </c>
      <c r="G26" s="74">
        <v>-976200</v>
      </c>
      <c r="H26" s="73">
        <v>-384200</v>
      </c>
      <c r="I26" s="75">
        <v>-283000</v>
      </c>
      <c r="J26" s="75">
        <v>-230000</v>
      </c>
      <c r="K26" s="76">
        <v>-189000</v>
      </c>
    </row>
    <row r="27" spans="1:11" x14ac:dyDescent="0.25">
      <c r="A27" s="16"/>
      <c r="B27" s="26" t="s">
        <v>11</v>
      </c>
      <c r="C27" s="23"/>
      <c r="D27" s="23"/>
      <c r="E27" s="23"/>
      <c r="F27" s="77">
        <f>F25+F26</f>
        <v>-999836.37</v>
      </c>
      <c r="G27" s="78">
        <f t="shared" ref="G27:K27" si="5">G25+G26</f>
        <v>-976200</v>
      </c>
      <c r="H27" s="77">
        <f t="shared" si="5"/>
        <v>-384200</v>
      </c>
      <c r="I27" s="77">
        <f t="shared" si="5"/>
        <v>-283000</v>
      </c>
      <c r="J27" s="77">
        <f t="shared" si="5"/>
        <v>-230000</v>
      </c>
      <c r="K27" s="79">
        <f t="shared" si="5"/>
        <v>-189000</v>
      </c>
    </row>
    <row r="28" spans="1:11" x14ac:dyDescent="0.25">
      <c r="A28" s="18"/>
      <c r="B28" s="5"/>
      <c r="C28" s="5"/>
      <c r="D28" s="5"/>
      <c r="E28" s="5"/>
      <c r="F28" s="17"/>
      <c r="G28" s="17"/>
      <c r="H28" s="17"/>
      <c r="I28" s="17"/>
      <c r="J28" s="17"/>
      <c r="K28" s="17"/>
    </row>
    <row r="32" spans="1:11" x14ac:dyDescent="0.25">
      <c r="F32" s="88"/>
      <c r="H32" s="88"/>
      <c r="I32" s="94"/>
      <c r="J32" s="95" t="s">
        <v>49</v>
      </c>
      <c r="K32" s="94"/>
    </row>
    <row r="33" spans="3:11" x14ac:dyDescent="0.25">
      <c r="F33" s="88"/>
      <c r="H33" s="88"/>
      <c r="I33" s="88"/>
      <c r="J33" s="88"/>
      <c r="K33" s="88"/>
    </row>
    <row r="34" spans="3:11" x14ac:dyDescent="0.25">
      <c r="C34" s="8" t="s">
        <v>57</v>
      </c>
      <c r="F34" s="89"/>
      <c r="H34" s="89"/>
      <c r="I34" s="96">
        <f>IF(H42&gt;0,Grundeinstellungen!$Y$17*H42+Grundeinstellungen!$AC$17,10)</f>
        <v>9.4269207843837943</v>
      </c>
      <c r="J34" s="96">
        <f>IF(I42&gt;0,Grundeinstellungen!$Y$17*I42+Grundeinstellungen!$AC$17,10)</f>
        <v>5.5753991769896629</v>
      </c>
      <c r="K34" s="96">
        <f>IF(J42&gt;0,Grundeinstellungen!$Y$17*J42+Grundeinstellungen!$AC$17,10)</f>
        <v>0.50391610394799713</v>
      </c>
    </row>
    <row r="35" spans="3:11" x14ac:dyDescent="0.25">
      <c r="C35" s="90" t="s">
        <v>50</v>
      </c>
      <c r="F35" s="89"/>
      <c r="H35" s="89"/>
      <c r="I35" s="88"/>
      <c r="J35" s="88"/>
      <c r="K35" s="88"/>
    </row>
    <row r="36" spans="3:11" x14ac:dyDescent="0.25">
      <c r="F36" s="88"/>
      <c r="H36" s="88"/>
      <c r="I36" s="88"/>
      <c r="J36" s="88"/>
      <c r="K36" s="88"/>
    </row>
    <row r="37" spans="3:11" x14ac:dyDescent="0.25">
      <c r="C37" s="8" t="s">
        <v>58</v>
      </c>
      <c r="F37" s="91"/>
      <c r="H37" s="91"/>
      <c r="I37" s="92">
        <f>I34*I14/100</f>
        <v>-2268022.8715148969</v>
      </c>
      <c r="J37" s="92">
        <f>J34*J14/100</f>
        <v>-1368202.9580332635</v>
      </c>
      <c r="K37" s="92">
        <f t="shared" ref="K37" si="6">K34*K14/100</f>
        <v>-126135.23997922316</v>
      </c>
    </row>
    <row r="38" spans="3:11" x14ac:dyDescent="0.25">
      <c r="C38" s="90" t="s">
        <v>53</v>
      </c>
      <c r="I38" s="99">
        <f>I12-I37</f>
        <v>3967222.8715148969</v>
      </c>
      <c r="J38" s="99">
        <f t="shared" ref="J38:K38" si="7">J12-J37</f>
        <v>2509002.9580332637</v>
      </c>
      <c r="K38" s="99">
        <f t="shared" si="7"/>
        <v>57535.239979223159</v>
      </c>
    </row>
    <row r="39" spans="3:11" x14ac:dyDescent="0.25">
      <c r="C39" s="8"/>
      <c r="F39" s="91"/>
      <c r="H39" s="91"/>
      <c r="I39" s="88"/>
      <c r="J39" s="88"/>
      <c r="K39" s="88"/>
    </row>
    <row r="40" spans="3:11" x14ac:dyDescent="0.25">
      <c r="C40" s="8" t="s">
        <v>51</v>
      </c>
      <c r="F40" s="91"/>
      <c r="H40" s="92">
        <f>H16</f>
        <v>1374591.9000000004</v>
      </c>
      <c r="I40" s="92">
        <f>H40+I21-I24-I27-I12+I38</f>
        <v>11405514.771514896</v>
      </c>
      <c r="J40" s="92">
        <f t="shared" ref="J40:K40" si="8">I40+J21-J24-J27-J12+J38</f>
        <v>24967917.72954816</v>
      </c>
      <c r="K40" s="92">
        <f t="shared" si="8"/>
        <v>34537352.969527379</v>
      </c>
    </row>
    <row r="41" spans="3:11" x14ac:dyDescent="0.25">
      <c r="C41" s="8"/>
      <c r="F41" s="88"/>
      <c r="H41" s="88"/>
      <c r="I41" s="97"/>
      <c r="J41" s="97"/>
      <c r="K41" s="97"/>
    </row>
    <row r="42" spans="3:11" x14ac:dyDescent="0.25">
      <c r="C42" s="8" t="s">
        <v>63</v>
      </c>
      <c r="F42" s="88"/>
      <c r="H42" s="93">
        <f>-H40/H14*100</f>
        <v>6.1401344530307789</v>
      </c>
      <c r="I42" s="96">
        <f>-I40/I14*100</f>
        <v>47.406437389396466</v>
      </c>
      <c r="J42" s="96">
        <f t="shared" ref="J42:K42" si="9">-J40/J14*100</f>
        <v>101.74375602912859</v>
      </c>
      <c r="K42" s="96">
        <f t="shared" si="9"/>
        <v>137.9783187628436</v>
      </c>
    </row>
    <row r="43" spans="3:11" x14ac:dyDescent="0.25">
      <c r="C43" s="135" t="s">
        <v>62</v>
      </c>
      <c r="D43" s="9"/>
      <c r="E43" s="9"/>
      <c r="F43" s="9"/>
      <c r="H43" s="136" t="str">
        <f>IF(H42&lt;100,"gut", IF(H42&gt;150,"schlecht","genügend"))</f>
        <v>gut</v>
      </c>
      <c r="I43" s="136" t="str">
        <f t="shared" ref="I43:J43" si="10">IF(I42&lt;100,"gut", IF(I42&gt;150,"schlecht","genügend"))</f>
        <v>gut</v>
      </c>
      <c r="J43" s="136" t="str">
        <f t="shared" si="10"/>
        <v>genügend</v>
      </c>
      <c r="K43" s="136" t="str">
        <f>IF(K42&lt;100,"gut", IF(K42&gt;150,"schlecht","genügend"))</f>
        <v>genügend</v>
      </c>
    </row>
    <row r="45" spans="3:11" x14ac:dyDescent="0.25">
      <c r="C45" s="8" t="s">
        <v>77</v>
      </c>
      <c r="E45" s="5"/>
      <c r="F45" s="92">
        <f>-1.5*F14</f>
        <v>32257746.734999999</v>
      </c>
      <c r="G45" s="92">
        <f t="shared" ref="G45:K45" si="11">-1.5*G14</f>
        <v>34708500</v>
      </c>
      <c r="H45" s="92">
        <f t="shared" si="11"/>
        <v>33580500</v>
      </c>
      <c r="I45" s="92">
        <f t="shared" si="11"/>
        <v>36088500</v>
      </c>
      <c r="J45" s="92">
        <f t="shared" si="11"/>
        <v>36810000</v>
      </c>
      <c r="K45" s="92">
        <f t="shared" si="11"/>
        <v>37546500</v>
      </c>
    </row>
    <row r="46" spans="3:11" x14ac:dyDescent="0.25">
      <c r="C46" s="90" t="s">
        <v>52</v>
      </c>
      <c r="F46" s="99">
        <f t="shared" ref="F46:K46" si="12">F45-F16</f>
        <v>38651754.835000001</v>
      </c>
      <c r="G46" s="99">
        <f t="shared" si="12"/>
        <v>38093708.100000001</v>
      </c>
      <c r="H46" s="99">
        <f t="shared" si="12"/>
        <v>32205908.100000001</v>
      </c>
      <c r="I46" s="99">
        <f t="shared" si="12"/>
        <v>28650208.100000001</v>
      </c>
      <c r="J46" s="99">
        <f t="shared" si="12"/>
        <v>18318308.100000001</v>
      </c>
      <c r="K46" s="99">
        <f t="shared" si="12"/>
        <v>9542908.1000000015</v>
      </c>
    </row>
  </sheetData>
  <pageMargins left="0.70866141732283472" right="0.70866141732283472" top="0.78740157480314965" bottom="0.78740157480314965" header="0.31496062992125984" footer="0.31496062992125984"/>
  <pageSetup paperSize="8" scale="76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0858210-17A8-4756-8AB2-26A8EF6C2B4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0"/>
              <x14:cfIcon iconSet="NoIcons" iconId="0"/>
              <x14:cfIcon iconSet="3Symbols" iconId="2"/>
            </x14:iconSet>
          </x14:cfRule>
          <xm:sqref>F46:K46 I38:K38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Grundeinstellungen</vt:lpstr>
      <vt:lpstr>Kanton</vt:lpstr>
      <vt:lpstr>Sarnen</vt:lpstr>
      <vt:lpstr>Kerns</vt:lpstr>
      <vt:lpstr>Sachseln</vt:lpstr>
      <vt:lpstr>Alpnach</vt:lpstr>
      <vt:lpstr>Giswil</vt:lpstr>
      <vt:lpstr>Lungern</vt:lpstr>
      <vt:lpstr>Engelberg</vt:lpstr>
    </vt:vector>
  </TitlesOfParts>
  <Company>InformatikLeistungsZentrum Ob- und Nidwalden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Berchtold Peter</dc:creator>
  <cp:lastModifiedBy>Odermatt Daniel</cp:lastModifiedBy>
  <cp:lastPrinted>2020-01-09T13:12:40Z</cp:lastPrinted>
  <dcterms:created xsi:type="dcterms:W3CDTF">2019-11-27T15:30:34Z</dcterms:created>
  <dcterms:modified xsi:type="dcterms:W3CDTF">2020-03-27T08:28:01Z</dcterms:modified>
</cp:coreProperties>
</file>